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excel\Update\"/>
    </mc:Choice>
  </mc:AlternateContent>
  <bookViews>
    <workbookView xWindow="0" yWindow="0" windowWidth="21015" windowHeight="15045" tabRatio="633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8" r:id="rId9"/>
    <sheet name="Oil Crops Chart Gallery Fig 1" sheetId="13" r:id="rId10"/>
    <sheet name="Oil Crops Chart Gallery Fig 2" sheetId="12" r:id="rId11"/>
  </sheets>
  <definedNames>
    <definedName name="_xlnm.Print_Area" localSheetId="1">'Table 1'!$A$1:$N$37</definedName>
    <definedName name="_xlnm.Print_Area" localSheetId="7">'Table 10'!$A$1:$G$37</definedName>
    <definedName name="_xlnm.Print_Area" localSheetId="2">'Table 2'!$A$1:$J$28</definedName>
    <definedName name="_xlnm.Print_Area" localSheetId="3">'Table 3'!$A$1:$M$44</definedName>
    <definedName name="_xlnm.Print_Area" localSheetId="5">'Table 8'!$A$1:$G$35</definedName>
    <definedName name="_xlnm.Print_Area" localSheetId="6">'Table 9'!$A$1:$I$37</definedName>
    <definedName name="_xlnm.Print_Area" localSheetId="4">'Tables 4-7'!$A$1:$O$52</definedName>
    <definedName name="WASDE_Updated" localSheetId="0">Contents!#REF!</definedName>
  </definedNames>
  <calcPr calcId="152511"/>
</workbook>
</file>

<file path=xl/calcChain.xml><?xml version="1.0" encoding="utf-8"?>
<calcChain xmlns="http://schemas.openxmlformats.org/spreadsheetml/2006/main">
  <c r="D27" i="9" l="1"/>
  <c r="J27" i="9"/>
  <c r="H26" i="2"/>
  <c r="D26" i="2"/>
  <c r="L32" i="1"/>
  <c r="G32" i="1"/>
  <c r="L27" i="9" l="1"/>
  <c r="L23" i="9"/>
  <c r="E21" i="2"/>
  <c r="B11" i="2"/>
  <c r="B7" i="2"/>
  <c r="J26" i="2"/>
  <c r="C26" i="2"/>
  <c r="H33" i="1"/>
  <c r="J32" i="1"/>
  <c r="L33" i="1"/>
  <c r="J33" i="1"/>
  <c r="G33" i="1"/>
  <c r="B12" i="9"/>
  <c r="F33" i="1" l="1"/>
  <c r="J23" i="9" l="1"/>
  <c r="D23" i="9"/>
  <c r="D22" i="2"/>
  <c r="H22" i="2"/>
  <c r="L31" i="1"/>
  <c r="G31" i="1"/>
  <c r="B27" i="9" l="1"/>
  <c r="E27" i="9" s="1"/>
  <c r="K27" i="9" s="1"/>
  <c r="G27" i="9" s="1"/>
  <c r="L22" i="9"/>
  <c r="B23" i="9" s="1"/>
  <c r="E23" i="9" s="1"/>
  <c r="J22" i="9"/>
  <c r="D22" i="9"/>
  <c r="J22" i="2"/>
  <c r="B26" i="2" s="1"/>
  <c r="E26" i="2" s="1"/>
  <c r="I26" i="2" s="1"/>
  <c r="G26" i="2" s="1"/>
  <c r="J21" i="2"/>
  <c r="C22" i="2"/>
  <c r="C21" i="2"/>
  <c r="B22" i="2"/>
  <c r="E22" i="2" s="1"/>
  <c r="I22" i="2" s="1"/>
  <c r="C24" i="9"/>
  <c r="C8" i="9" s="1"/>
  <c r="H24" i="9"/>
  <c r="H8" i="9" s="1"/>
  <c r="J31" i="1"/>
  <c r="J26" i="1"/>
  <c r="F8" i="1"/>
  <c r="F7" i="1"/>
  <c r="E33" i="1"/>
  <c r="E7" i="1"/>
  <c r="J7" i="2" l="1"/>
  <c r="B8" i="2" s="1"/>
  <c r="L8" i="9"/>
  <c r="G22" i="2"/>
  <c r="K23" i="9"/>
  <c r="G23" i="9" s="1"/>
  <c r="I23" i="9" s="1"/>
  <c r="B38" i="1"/>
  <c r="H21" i="2" l="1"/>
  <c r="D21" i="2"/>
  <c r="G26" i="1"/>
  <c r="L26" i="1"/>
  <c r="J20" i="2" l="1"/>
  <c r="C20" i="2"/>
  <c r="J25" i="1"/>
  <c r="L21" i="9"/>
  <c r="N7" i="1" l="1"/>
  <c r="E27" i="1" l="1"/>
  <c r="B22" i="9" l="1"/>
  <c r="E22" i="9" s="1"/>
  <c r="K22" i="9" s="1"/>
  <c r="B21" i="2"/>
  <c r="I21" i="2" s="1"/>
  <c r="G21" i="2" s="1"/>
  <c r="F28" i="1"/>
  <c r="G22" i="9" l="1"/>
  <c r="I22" i="9" s="1"/>
  <c r="D20" i="2" l="1"/>
  <c r="H20" i="2"/>
  <c r="D21" i="9"/>
  <c r="J21" i="9"/>
  <c r="L20" i="9"/>
  <c r="B21" i="9" s="1"/>
  <c r="L25" i="1"/>
  <c r="G25" i="1"/>
  <c r="E21" i="9" l="1"/>
  <c r="K21" i="9" s="1"/>
  <c r="G21" i="9" s="1"/>
  <c r="K47" i="3"/>
  <c r="K46" i="3"/>
  <c r="I21" i="9" l="1"/>
  <c r="J20" i="9"/>
  <c r="D20" i="9"/>
  <c r="H19" i="2"/>
  <c r="D19" i="2"/>
  <c r="L24" i="1"/>
  <c r="L27" i="1" s="1"/>
  <c r="G24" i="1"/>
  <c r="G27" i="1" s="1"/>
  <c r="H27" i="1" s="1"/>
  <c r="M27" i="1" s="1"/>
  <c r="L19" i="9" l="1"/>
  <c r="J19" i="2"/>
  <c r="B20" i="2" s="1"/>
  <c r="E20" i="2" s="1"/>
  <c r="I20" i="2" s="1"/>
  <c r="G20" i="2" s="1"/>
  <c r="J18" i="2"/>
  <c r="C19" i="2"/>
  <c r="C18" i="2"/>
  <c r="J24" i="1"/>
  <c r="J27" i="1" s="1"/>
  <c r="K27" i="1" s="1"/>
  <c r="J22" i="1"/>
  <c r="B20" i="9" l="1"/>
  <c r="E20" i="9" s="1"/>
  <c r="K20" i="9" s="1"/>
  <c r="G20" i="9" s="1"/>
  <c r="I20" i="9" s="1"/>
  <c r="B19" i="2"/>
  <c r="E19" i="2" s="1"/>
  <c r="I19" i="2" s="1"/>
  <c r="G19" i="2" s="1"/>
  <c r="J19" i="9" l="1"/>
  <c r="D19" i="9"/>
  <c r="H18" i="2"/>
  <c r="D18" i="2"/>
  <c r="L22" i="1"/>
  <c r="G22" i="1"/>
  <c r="D8" i="1" l="1"/>
  <c r="L17" i="9" l="1"/>
  <c r="L18" i="9"/>
  <c r="J17" i="2"/>
  <c r="C17" i="2"/>
  <c r="J20" i="1"/>
  <c r="J21" i="1"/>
  <c r="E23" i="1" l="1"/>
  <c r="J23" i="1"/>
  <c r="B18" i="2"/>
  <c r="E18" i="2" s="1"/>
  <c r="B19" i="9"/>
  <c r="E19" i="9" s="1"/>
  <c r="K19" i="9" s="1"/>
  <c r="G19" i="9" s="1"/>
  <c r="I19" i="9" s="1"/>
  <c r="D14" i="9"/>
  <c r="D13" i="9"/>
  <c r="D12" i="9"/>
  <c r="J14" i="9"/>
  <c r="J13" i="9"/>
  <c r="J12" i="9"/>
  <c r="H13" i="2"/>
  <c r="H12" i="2"/>
  <c r="H11" i="2"/>
  <c r="D13" i="2"/>
  <c r="D12" i="2"/>
  <c r="D11" i="2"/>
  <c r="G14" i="1"/>
  <c r="G13" i="1"/>
  <c r="G12" i="1"/>
  <c r="L16" i="1"/>
  <c r="L14" i="1"/>
  <c r="L13" i="1"/>
  <c r="L12" i="1"/>
  <c r="I18" i="2" l="1"/>
  <c r="G18" i="2"/>
  <c r="D17" i="9"/>
  <c r="C16" i="2"/>
  <c r="J16" i="2"/>
  <c r="B17" i="2" s="1"/>
  <c r="D16" i="2"/>
  <c r="H16" i="2"/>
  <c r="L46" i="3" l="1"/>
  <c r="N46" i="3"/>
  <c r="H47" i="3"/>
  <c r="N47" i="3" s="1"/>
  <c r="L47" i="3" s="1"/>
  <c r="H46" i="3"/>
  <c r="E48" i="3"/>
  <c r="H48" i="3" s="1"/>
  <c r="N48" i="3" s="1"/>
  <c r="L48" i="3" s="1"/>
  <c r="E47" i="3"/>
  <c r="D48" i="3"/>
  <c r="D47" i="3"/>
  <c r="D46" i="3"/>
  <c r="B35" i="3"/>
  <c r="B34" i="3"/>
  <c r="E34" i="3" s="1"/>
  <c r="I34" i="3" s="1"/>
  <c r="G34" i="3" s="1"/>
  <c r="B22" i="3"/>
  <c r="E22" i="3" s="1"/>
  <c r="I22" i="3" s="1"/>
  <c r="G22" i="3" s="1"/>
  <c r="B21" i="3"/>
  <c r="B9" i="3"/>
  <c r="E9" i="3" s="1"/>
  <c r="J9" i="3" s="1"/>
  <c r="I9" i="3" s="1"/>
  <c r="B8" i="3"/>
  <c r="E8" i="3" s="1"/>
  <c r="J8" i="3" s="1"/>
  <c r="I8" i="3" s="1"/>
  <c r="G20" i="3"/>
  <c r="J7" i="3"/>
  <c r="I7" i="3" s="1"/>
  <c r="I20" i="3"/>
  <c r="E35" i="3"/>
  <c r="I35" i="3" s="1"/>
  <c r="G35" i="3" s="1"/>
  <c r="E33" i="3"/>
  <c r="I33" i="3" s="1"/>
  <c r="G33" i="3" s="1"/>
  <c r="E21" i="3"/>
  <c r="I21" i="3" s="1"/>
  <c r="G21" i="3" s="1"/>
  <c r="E20" i="3"/>
  <c r="E7" i="3"/>
  <c r="B18" i="9" l="1"/>
  <c r="J17" i="9"/>
  <c r="J18" i="9"/>
  <c r="D18" i="9"/>
  <c r="L21" i="1"/>
  <c r="L23" i="1" s="1"/>
  <c r="G21" i="1"/>
  <c r="G23" i="1" s="1"/>
  <c r="H23" i="1" s="1"/>
  <c r="M23" i="1" s="1"/>
  <c r="K23" i="1" s="1"/>
  <c r="H17" i="2"/>
  <c r="D17" i="2"/>
  <c r="E17" i="2" s="1"/>
  <c r="I17" i="2" s="1"/>
  <c r="G17" i="2" s="1"/>
  <c r="E18" i="9" l="1"/>
  <c r="K18" i="9" s="1"/>
  <c r="G18" i="9" s="1"/>
  <c r="B9" i="9"/>
  <c r="E9" i="9" s="1"/>
  <c r="K9" i="9" s="1"/>
  <c r="G9" i="9" s="1"/>
  <c r="I9" i="9" s="1"/>
  <c r="B8" i="9"/>
  <c r="E8" i="1"/>
  <c r="H8" i="1" s="1"/>
  <c r="M8" i="1" s="1"/>
  <c r="K8" i="1" s="1"/>
  <c r="H6" i="1"/>
  <c r="M6" i="1" s="1"/>
  <c r="K6" i="1" s="1"/>
  <c r="E8" i="2"/>
  <c r="I8" i="2" s="1"/>
  <c r="G8" i="2" s="1"/>
  <c r="D7" i="1"/>
  <c r="D6" i="1"/>
  <c r="I18" i="9" l="1"/>
  <c r="H15" i="2"/>
  <c r="D15" i="2"/>
  <c r="J16" i="9"/>
  <c r="D16" i="9"/>
  <c r="L18" i="1"/>
  <c r="G18" i="1"/>
  <c r="L15" i="9" l="1"/>
  <c r="L16" i="9"/>
  <c r="B17" i="9" s="1"/>
  <c r="E17" i="9" s="1"/>
  <c r="K17" i="9" s="1"/>
  <c r="G17" i="9" s="1"/>
  <c r="I17" i="9" s="1"/>
  <c r="J15" i="2"/>
  <c r="B16" i="2" s="1"/>
  <c r="E16" i="2" s="1"/>
  <c r="I16" i="2" s="1"/>
  <c r="G16" i="2" s="1"/>
  <c r="J14" i="2"/>
  <c r="B15" i="2" s="1"/>
  <c r="C15" i="2"/>
  <c r="C14" i="2"/>
  <c r="J17" i="1"/>
  <c r="J18" i="1"/>
  <c r="E15" i="2" l="1"/>
  <c r="B16" i="9"/>
  <c r="E19" i="1"/>
  <c r="I15" i="2" l="1"/>
  <c r="G15" i="2" s="1"/>
  <c r="E16" i="9"/>
  <c r="K16" i="9" s="1"/>
  <c r="G16" i="9" s="1"/>
  <c r="I16" i="9" s="1"/>
  <c r="D14" i="2"/>
  <c r="D23" i="2" s="1"/>
  <c r="D7" i="2" s="1"/>
  <c r="H14" i="2"/>
  <c r="H23" i="2" s="1"/>
  <c r="H7" i="2" s="1"/>
  <c r="J15" i="9"/>
  <c r="J24" i="9" s="1"/>
  <c r="J8" i="9" s="1"/>
  <c r="D15" i="9"/>
  <c r="D24" i="9" s="1"/>
  <c r="D8" i="9" s="1"/>
  <c r="E8" i="9" s="1"/>
  <c r="K8" i="9" s="1"/>
  <c r="G8" i="9" s="1"/>
  <c r="I8" i="9" s="1"/>
  <c r="L17" i="1"/>
  <c r="L19" i="1" s="1"/>
  <c r="G17" i="1"/>
  <c r="J12" i="1" l="1"/>
  <c r="G16" i="1" l="1"/>
  <c r="G19" i="1" s="1"/>
  <c r="H19" i="1" s="1"/>
  <c r="M19" i="1" s="1"/>
  <c r="J16" i="1" l="1"/>
  <c r="J19" i="1" s="1"/>
  <c r="K19" i="1" s="1"/>
  <c r="L14" i="9"/>
  <c r="J13" i="2" l="1"/>
  <c r="B14" i="2" s="1"/>
  <c r="C13" i="2"/>
  <c r="B15" i="9" l="1"/>
  <c r="E14" i="2"/>
  <c r="I14" i="2" s="1"/>
  <c r="E15" i="9" l="1"/>
  <c r="K15" i="9" s="1"/>
  <c r="G15" i="9" s="1"/>
  <c r="G14" i="2"/>
  <c r="I15" i="9" l="1"/>
  <c r="L13" i="9" l="1"/>
  <c r="B14" i="9" s="1"/>
  <c r="E14" i="9" s="1"/>
  <c r="K14" i="9" s="1"/>
  <c r="G14" i="9" s="1"/>
  <c r="I14" i="9" s="1"/>
  <c r="L12" i="9"/>
  <c r="J12" i="2"/>
  <c r="B13" i="2" s="1"/>
  <c r="E13" i="2" s="1"/>
  <c r="I13" i="2" s="1"/>
  <c r="G13" i="2" s="1"/>
  <c r="J11" i="2"/>
  <c r="J14" i="1"/>
  <c r="J13" i="1"/>
  <c r="C12" i="2"/>
  <c r="C11" i="2"/>
  <c r="C23" i="2" s="1"/>
  <c r="C7" i="2" s="1"/>
  <c r="E7" i="2" s="1"/>
  <c r="I7" i="2" s="1"/>
  <c r="G7" i="2" s="1"/>
  <c r="B13" i="9" l="1"/>
  <c r="E13" i="9" s="1"/>
  <c r="K13" i="9" s="1"/>
  <c r="G13" i="9" s="1"/>
  <c r="I13" i="9" s="1"/>
  <c r="B12" i="2"/>
  <c r="E12" i="2" s="1"/>
  <c r="I12" i="2" s="1"/>
  <c r="G12" i="2" s="1"/>
  <c r="J15" i="1"/>
  <c r="J28" i="1" s="1"/>
  <c r="J7" i="1" s="1"/>
  <c r="L15" i="1"/>
  <c r="L28" i="1" s="1"/>
  <c r="L7" i="1" s="1"/>
  <c r="G15" i="1"/>
  <c r="G28" i="1" s="1"/>
  <c r="G7" i="1" l="1"/>
  <c r="H7" i="1" s="1"/>
  <c r="M7" i="1" s="1"/>
  <c r="K7" i="1" s="1"/>
  <c r="H28" i="1"/>
  <c r="E11" i="2"/>
  <c r="E24" i="9"/>
  <c r="H15" i="1"/>
  <c r="M15" i="1" s="1"/>
  <c r="M28" i="1" s="1"/>
  <c r="B39" i="6"/>
  <c r="B38" i="5"/>
  <c r="B38" i="4"/>
  <c r="B31" i="9"/>
  <c r="B29" i="2"/>
  <c r="A5" i="10"/>
  <c r="B52" i="3"/>
  <c r="E7" i="9"/>
  <c r="K7" i="9" s="1"/>
  <c r="E6" i="2"/>
  <c r="I6" i="2" s="1"/>
  <c r="G6" i="2" s="1"/>
  <c r="I11" i="2" l="1"/>
  <c r="I23" i="2" s="1"/>
  <c r="E23" i="2"/>
  <c r="G7" i="9"/>
  <c r="I7" i="9" s="1"/>
  <c r="G11" i="2"/>
  <c r="G23" i="2" s="1"/>
  <c r="E12" i="9"/>
  <c r="K12" i="9" s="1"/>
  <c r="K24" i="9" s="1"/>
  <c r="K15" i="1"/>
  <c r="K28" i="1" s="1"/>
  <c r="G12" i="9" l="1"/>
  <c r="G24" i="9" s="1"/>
  <c r="I12" i="9" l="1"/>
  <c r="I24" i="9" s="1"/>
</calcChain>
</file>

<file path=xl/sharedStrings.xml><?xml version="1.0" encoding="utf-8"?>
<sst xmlns="http://schemas.openxmlformats.org/spreadsheetml/2006/main" count="469" uniqueCount="180">
  <si>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</si>
  <si>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</si>
  <si>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</si>
  <si>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</si>
  <si>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</si>
  <si>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</si>
  <si>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</si>
  <si>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</si>
  <si>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</si>
  <si>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</si>
  <si>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</si>
  <si>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Table 4--Cottonseed:  U.S. supply and disappearance</t>
  </si>
  <si>
    <t>Table 5--Cottonseed meal:  U.S. supply and disappearance</t>
  </si>
  <si>
    <t>Table 6--Cottonseed oil:  U.S. supply and disappearance</t>
  </si>
  <si>
    <t>Table 7--Peanuts:  U.S. supply and disappearance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</si>
  <si>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</si>
  <si>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</si>
  <si>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</si>
  <si>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</si>
  <si>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</si>
  <si>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Million pounds</t>
  </si>
  <si>
    <t xml:space="preserve">      Million pounds</t>
  </si>
  <si>
    <t>Table 9--U.S. vegetable oil and fats prices</t>
  </si>
  <si>
    <t>Table 2--Soybean meal:  U.S. supply and disappearance</t>
  </si>
  <si>
    <t>Disappearance</t>
  </si>
  <si>
    <t>Table 3--Soybean oil:  U.S. supply and 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</si>
  <si>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</si>
  <si>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</si>
  <si>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</si>
  <si>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</si>
  <si>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</si>
  <si>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</si>
  <si>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</si>
  <si>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</si>
  <si>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</si>
  <si>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</si>
  <si>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</si>
  <si>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</si>
  <si>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</si>
  <si>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</si>
  <si>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</si>
  <si>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</si>
  <si>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</si>
  <si>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Table 10--U.S. oilseed meal prices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</si>
  <si>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</si>
  <si>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</si>
  <si>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</si>
  <si>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</si>
  <si>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</si>
  <si>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</si>
  <si>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 xml:space="preserve">$/cwt. </t>
  </si>
  <si>
    <t>Table 8--Oilseed prices received by U.S. farmers</t>
  </si>
  <si>
    <t>Canola</t>
  </si>
  <si>
    <t xml:space="preserve">stocks  </t>
  </si>
  <si>
    <t>2009/10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</si>
  <si>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</si>
  <si>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</si>
  <si>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</si>
  <si>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</si>
  <si>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</si>
  <si>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</si>
  <si>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</si>
  <si>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</si>
  <si>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</si>
  <si>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</si>
  <si>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</si>
  <si>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</si>
  <si>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</si>
  <si>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</si>
  <si>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</si>
  <si>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</si>
  <si>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</si>
  <si>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Table 1--Soybeans:  Annual U.S. supply and disappearance</t>
  </si>
  <si>
    <t>Soybeans:  Quarterly U.S. supply and disappearance</t>
  </si>
  <si>
    <t>Bu./acre</t>
  </si>
  <si>
    <t>Cents/pound</t>
  </si>
  <si>
    <t xml:space="preserve">$/bushel </t>
  </si>
  <si>
    <t>Foreign Trade Statistics.</t>
  </si>
  <si>
    <t>Pounds/acre</t>
  </si>
  <si>
    <t xml:space="preserve">  September-November</t>
  </si>
  <si>
    <t xml:space="preserve">  December-February</t>
  </si>
  <si>
    <t xml:space="preserve">  March-May</t>
  </si>
  <si>
    <t xml:space="preserve">  June-August</t>
  </si>
  <si>
    <t>Year beginning</t>
  </si>
  <si>
    <t>October 1</t>
  </si>
  <si>
    <t>August 1</t>
  </si>
  <si>
    <t xml:space="preserve">$/short ton  </t>
  </si>
  <si>
    <t>September 1</t>
  </si>
  <si>
    <t>Sunflowerseed</t>
  </si>
  <si>
    <t>NA= Not available.</t>
  </si>
  <si>
    <t>2012/13</t>
  </si>
  <si>
    <t>Supply</t>
  </si>
  <si>
    <t>Million acres</t>
  </si>
  <si>
    <t>1,000 acres</t>
  </si>
  <si>
    <t xml:space="preserve">  Total  </t>
  </si>
  <si>
    <t xml:space="preserve"> stocks </t>
  </si>
  <si>
    <t>Biodiesel</t>
  </si>
  <si>
    <t>2013/14</t>
  </si>
  <si>
    <t>Seed and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</si>
  <si>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</si>
  <si>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</si>
  <si>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</si>
  <si>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</si>
  <si>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</si>
  <si>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$/cwt </t>
  </si>
  <si>
    <t>cwt=hundredweight.</t>
  </si>
  <si>
    <t>------------------------------------------------------- Cents/ pound----------------------------------------------</t>
  </si>
  <si>
    <t>--------------------------------------------------- $/short ton------------------------------------------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</si>
  <si>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</si>
  <si>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</si>
  <si>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</si>
  <si>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</si>
  <si>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</si>
  <si>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</si>
  <si>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</si>
  <si>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</si>
  <si>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</si>
  <si>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</si>
  <si>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Food &amp; Other</t>
  </si>
  <si>
    <t>2017/18</t>
  </si>
  <si>
    <t>Oil Crops Outlook Tables</t>
  </si>
  <si>
    <t>Last update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</si>
  <si>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Grain Stocks </t>
    </r>
    <r>
      <rPr>
        <sz val="11"/>
        <rFont val="Arial"/>
        <family val="2"/>
      </rPr>
      <t>and U.S. Department of Commerce, U.S. Census Bureau,</t>
    </r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</si>
  <si>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</si>
  <si>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2,204.622 pounds.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</si>
  <si>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</si>
  <si>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 </t>
    </r>
    <r>
      <rPr>
        <sz val="11"/>
        <rFont val="Arial"/>
        <family val="2"/>
      </rPr>
      <t>and U.S. Department of Commerce,</t>
    </r>
  </si>
  <si>
    <r>
      <t xml:space="preserve">U.S. Census Bureau, </t>
    </r>
    <r>
      <rPr>
        <i/>
        <sz val="11"/>
        <rFont val="Arial"/>
        <family val="2"/>
      </rPr>
      <t>Foreign Trade Statistics.</t>
    </r>
  </si>
  <si>
    <r>
      <t xml:space="preserve">Source:  USDA, Foreign Agricultural Service, </t>
    </r>
    <r>
      <rPr>
        <i/>
        <sz val="11"/>
        <rFont val="Arial"/>
        <family val="2"/>
      </rPr>
      <t>PS&amp;D Online.</t>
    </r>
  </si>
  <si>
    <r>
      <t>Source:  USDA, Foreign Agricultural Service, Production, Supply, and Distribution Online</t>
    </r>
    <r>
      <rPr>
        <i/>
        <sz val="11"/>
        <rFont val="Arial"/>
        <family val="2"/>
      </rPr>
      <t>.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</si>
  <si>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Peanut Stocks and Processing,</t>
    </r>
    <r>
      <rPr>
        <sz val="11"/>
        <rFont val="Arial"/>
        <family val="2"/>
      </rPr>
      <t>and U.S. Department of Commerce,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</si>
  <si>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</si>
  <si>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</si>
  <si>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</si>
  <si>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</si>
  <si>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</si>
  <si>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</si>
  <si>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t>2017/18</t>
    </r>
    <r>
      <rPr>
        <vertAlign val="superscript"/>
        <sz val="11"/>
        <rFont val="Arial"/>
        <family val="2"/>
      </rPr>
      <t>1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</si>
  <si>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</si>
  <si>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</si>
  <si>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</si>
  <si>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</si>
  <si>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</si>
  <si>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</si>
  <si>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</si>
  <si>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oil </t>
    </r>
    <r>
      <rPr>
        <vertAlign val="superscript"/>
        <sz val="11"/>
        <rFont val="Arial"/>
        <family val="2"/>
      </rPr>
      <t xml:space="preserve">6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</si>
  <si>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</si>
  <si>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Sources: USDA, Agricultural Marketing Service,  </t>
    </r>
    <r>
      <rPr>
        <i/>
        <sz val="11"/>
        <rFont val="Arial"/>
        <family val="2"/>
      </rPr>
      <t xml:space="preserve">Monthly Feedstuff Prices </t>
    </r>
    <r>
      <rPr>
        <sz val="11"/>
        <rFont val="Arial"/>
        <family val="2"/>
      </rPr>
      <t>and</t>
    </r>
    <r>
      <rPr>
        <i/>
        <sz val="11"/>
        <rFont val="Arial"/>
        <family val="2"/>
      </rPr>
      <t xml:space="preserve"> Milling and Baking News.</t>
    </r>
    <r>
      <rPr>
        <sz val="11"/>
        <rFont val="Arial"/>
        <family val="2"/>
      </rPr>
      <t xml:space="preserve">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</si>
  <si>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</si>
  <si>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</si>
  <si>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</si>
  <si>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</si>
  <si>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</si>
  <si>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</si>
  <si>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Minneapolis. </t>
    </r>
  </si>
  <si>
    <r>
      <t xml:space="preserve">Source: USDA, Agricultural Marketing Service, </t>
    </r>
    <r>
      <rPr>
        <i/>
        <sz val="11"/>
        <rFont val="Arial"/>
        <family val="2"/>
      </rPr>
      <t>Monthly Feedstuff Prices.</t>
    </r>
    <r>
      <rPr>
        <sz val="11"/>
        <rFont val="Arial"/>
        <family val="2"/>
      </rPr>
      <t xml:space="preserve"> </t>
    </r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</si>
  <si>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  <r>
      <rPr>
        <vertAlign val="superscript"/>
        <sz val="11"/>
        <rFont val="Arial"/>
        <family val="2"/>
      </rPr>
      <t/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</si>
  <si>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Chicago.  NA = Not available.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</si>
  <si>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</si>
  <si>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>2018/19</t>
    </r>
    <r>
      <rPr>
        <vertAlign val="superscript"/>
        <sz val="11"/>
        <rFont val="Arial"/>
        <family val="2"/>
      </rPr>
      <t>1</t>
    </r>
  </si>
  <si>
    <t>2018/19</t>
  </si>
  <si>
    <t>Total to date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</si>
  <si>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1.10231 short tons. NA: Not available.</t>
    </r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</si>
  <si>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36.744 bushels and 1 hectare equals 2.471 acres. NA: Not available.</t>
    </r>
  </si>
  <si>
    <t>---------------------------------------------Million bushels----------------------------------------------------------</t>
  </si>
  <si>
    <r>
      <t>2019/20</t>
    </r>
    <r>
      <rPr>
        <vertAlign val="superscript"/>
        <sz val="11"/>
        <rFont val="Arial"/>
        <family val="2"/>
      </rPr>
      <t>1</t>
    </r>
  </si>
  <si>
    <r>
      <t>2019/20</t>
    </r>
    <r>
      <rPr>
        <vertAlign val="superscript"/>
        <sz val="11"/>
        <rFont val="Arial"/>
        <family val="2"/>
      </rPr>
      <t>2</t>
    </r>
  </si>
  <si>
    <t>2019/20</t>
  </si>
  <si>
    <t xml:space="preserve">Contacts: Mark Ash at mark.ash@usda.gov   </t>
  </si>
  <si>
    <t>export sales commitments</t>
  </si>
  <si>
    <t>China</t>
  </si>
  <si>
    <t>soybeans</t>
  </si>
  <si>
    <t>Production (right axis)</t>
  </si>
  <si>
    <t>Outstanding sales</t>
  </si>
  <si>
    <t>Cumulative</t>
  </si>
  <si>
    <t>shipments</t>
  </si>
  <si>
    <t>Central Illinois</t>
  </si>
  <si>
    <t xml:space="preserve"> price</t>
  </si>
  <si>
    <t>Soybeans</t>
  </si>
  <si>
    <t>Soybean meal (right axis)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</si>
</sst>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_);\(#,##0.0\)"/>
    <numFmt numFmtId="170" formatCode="0.000"/>
    <numFmt numFmtId="171" formatCode="#,##0.0"/>
    <numFmt numFmtId="172" formatCode="[$-409]mmm\-yy;@"/>
    <numFmt numFmtId="173" formatCode="mmm\-yyyy"/>
    <numFmt numFmtId="174" formatCode="0.0000"/>
    <numFmt numFmtId="175" formatCode="[$-409]d\-mmm;@"/>
    <numFmt numFmtId="176" formatCode="0_)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b/>
      <sz val="14"/>
      <name val="Helvetica"/>
    </font>
    <font>
      <u/>
      <sz val="8"/>
      <color indexed="12"/>
      <name val="Arial"/>
      <family val="2"/>
    </font>
    <font>
      <b/>
      <sz val="10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9" fontId="1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0" xfId="1" quotePrefix="1" applyNumberFormat="1" applyFont="1" applyBorder="1" applyAlignment="1">
      <alignment horizontal="center"/>
    </xf>
    <xf numFmtId="164" fontId="0" fillId="0" borderId="0" xfId="1" quotePrefix="1" applyNumberFormat="1" applyFont="1" applyBorder="1"/>
    <xf numFmtId="43" fontId="0" fillId="0" borderId="0" xfId="1" applyFont="1"/>
    <xf numFmtId="43" fontId="0" fillId="0" borderId="0" xfId="1" applyNumberFormat="1" applyFont="1" applyBorder="1"/>
    <xf numFmtId="43" fontId="0" fillId="0" borderId="0" xfId="1" applyFont="1" applyBorder="1"/>
    <xf numFmtId="43" fontId="0" fillId="0" borderId="0" xfId="0" applyNumberFormat="1"/>
    <xf numFmtId="0" fontId="2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7" fontId="0" fillId="0" borderId="0" xfId="0" applyNumberFormat="1"/>
    <xf numFmtId="0" fontId="5" fillId="0" borderId="0" xfId="0" applyFont="1"/>
    <xf numFmtId="0" fontId="0" fillId="0" borderId="0" xfId="0" applyProtection="1"/>
    <xf numFmtId="2" fontId="0" fillId="0" borderId="0" xfId="0" applyNumberFormat="1"/>
    <xf numFmtId="165" fontId="0" fillId="0" borderId="0" xfId="0" applyNumberFormat="1"/>
    <xf numFmtId="173" fontId="0" fillId="0" borderId="0" xfId="0" applyNumberFormat="1" applyProtection="1"/>
    <xf numFmtId="172" fontId="2" fillId="0" borderId="0" xfId="0" quotePrefix="1" applyNumberFormat="1" applyFont="1"/>
    <xf numFmtId="171" fontId="5" fillId="0" borderId="0" xfId="1" applyNumberFormat="1" applyFont="1" applyBorder="1" applyAlignment="1">
      <alignment horizontal="center"/>
    </xf>
    <xf numFmtId="0" fontId="2" fillId="0" borderId="0" xfId="8" applyFont="1" applyBorder="1" applyAlignment="1">
      <alignment vertical="top" wrapText="1"/>
    </xf>
    <xf numFmtId="0" fontId="2" fillId="0" borderId="0" xfId="8" applyFont="1"/>
    <xf numFmtId="0" fontId="7" fillId="0" borderId="0" xfId="7" applyFont="1" applyAlignment="1">
      <alignment horizontal="left"/>
    </xf>
    <xf numFmtId="0" fontId="8" fillId="0" borderId="0" xfId="5" applyFont="1" applyAlignment="1" applyProtection="1"/>
    <xf numFmtId="0" fontId="3" fillId="0" borderId="0" xfId="8" applyFont="1"/>
    <xf numFmtId="0" fontId="9" fillId="0" borderId="0" xfId="7" applyFont="1" applyAlignment="1">
      <alignment horizontal="left"/>
    </xf>
    <xf numFmtId="0" fontId="2" fillId="0" borderId="0" xfId="8" applyFont="1" applyFill="1"/>
    <xf numFmtId="0" fontId="2" fillId="0" borderId="0" xfId="8" quotePrefix="1" applyFont="1"/>
    <xf numFmtId="0" fontId="11" fillId="0" borderId="0" xfId="8" applyFont="1" applyFill="1"/>
    <xf numFmtId="0" fontId="2" fillId="0" borderId="0" xfId="8" applyFont="1" applyBorder="1" applyAlignment="1">
      <alignment wrapText="1"/>
    </xf>
    <xf numFmtId="0" fontId="12" fillId="0" borderId="0" xfId="8" applyFont="1"/>
    <xf numFmtId="0" fontId="6" fillId="0" borderId="0" xfId="7" quotePrefix="1" applyAlignment="1">
      <alignment horizontal="left"/>
    </xf>
    <xf numFmtId="0" fontId="4" fillId="0" borderId="0" xfId="4" applyAlignment="1" applyProtection="1"/>
    <xf numFmtId="14" fontId="9" fillId="0" borderId="0" xfId="7" applyNumberFormat="1" applyFont="1" applyAlignment="1">
      <alignment horizontal="left"/>
    </xf>
    <xf numFmtId="0" fontId="13" fillId="0" borderId="1" xfId="0" applyFont="1" applyBorder="1"/>
    <xf numFmtId="0" fontId="13" fillId="0" borderId="0" xfId="0" applyFont="1"/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right"/>
    </xf>
    <xf numFmtId="16" fontId="13" fillId="0" borderId="1" xfId="0" quotePrefix="1" applyNumberFormat="1" applyFont="1" applyBorder="1"/>
    <xf numFmtId="16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indent="1"/>
    </xf>
    <xf numFmtId="0" fontId="14" fillId="0" borderId="0" xfId="0" quotePrefix="1" applyFont="1" applyAlignment="1">
      <alignment horizontal="right"/>
    </xf>
    <xf numFmtId="167" fontId="13" fillId="0" borderId="0" xfId="0" applyNumberFormat="1" applyFont="1" applyAlignment="1">
      <alignment horizontal="center"/>
    </xf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" fontId="13" fillId="0" borderId="0" xfId="1" applyNumberFormat="1" applyFont="1" applyBorder="1" applyAlignment="1">
      <alignment horizontal="right" indent="1"/>
    </xf>
    <xf numFmtId="165" fontId="13" fillId="0" borderId="0" xfId="1" applyNumberFormat="1" applyFont="1"/>
    <xf numFmtId="164" fontId="13" fillId="0" borderId="0" xfId="1" applyNumberFormat="1" applyFont="1" applyBorder="1"/>
    <xf numFmtId="164" fontId="13" fillId="0" borderId="0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center"/>
    </xf>
    <xf numFmtId="0" fontId="14" fillId="0" borderId="3" xfId="0" quotePrefix="1" applyFont="1" applyBorder="1" applyAlignment="1"/>
    <xf numFmtId="164" fontId="13" fillId="0" borderId="0" xfId="1" quotePrefix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1"/>
    </xf>
    <xf numFmtId="171" fontId="13" fillId="0" borderId="0" xfId="1" applyNumberFormat="1" applyFont="1" applyBorder="1" applyAlignment="1">
      <alignment horizontal="right"/>
    </xf>
    <xf numFmtId="171" fontId="13" fillId="0" borderId="0" xfId="1" quotePrefix="1" applyNumberFormat="1" applyFont="1" applyBorder="1" applyAlignment="1">
      <alignment horizontal="right"/>
    </xf>
    <xf numFmtId="171" fontId="13" fillId="0" borderId="0" xfId="1" applyNumberFormat="1" applyFont="1" applyFill="1" applyBorder="1" applyAlignment="1">
      <alignment horizontal="right"/>
    </xf>
    <xf numFmtId="164" fontId="13" fillId="0" borderId="0" xfId="1" quotePrefix="1" applyNumberFormat="1" applyFont="1" applyAlignment="1">
      <alignment horizontal="center"/>
    </xf>
    <xf numFmtId="171" fontId="13" fillId="0" borderId="0" xfId="1" quotePrefix="1" applyNumberFormat="1" applyFont="1" applyAlignment="1">
      <alignment horizontal="right"/>
    </xf>
    <xf numFmtId="0" fontId="13" fillId="0" borderId="0" xfId="0" quotePrefix="1" applyFont="1"/>
    <xf numFmtId="171" fontId="13" fillId="0" borderId="1" xfId="1" applyNumberFormat="1" applyFont="1" applyBorder="1" applyAlignment="1">
      <alignment horizontal="right" indent="1"/>
    </xf>
    <xf numFmtId="0" fontId="15" fillId="0" borderId="0" xfId="0" applyFont="1" applyBorder="1"/>
    <xf numFmtId="164" fontId="13" fillId="0" borderId="0" xfId="0" applyNumberFormat="1" applyFont="1" applyBorder="1"/>
    <xf numFmtId="164" fontId="13" fillId="0" borderId="0" xfId="1" applyNumberFormat="1" applyFont="1"/>
    <xf numFmtId="0" fontId="14" fillId="0" borderId="0" xfId="0" applyFont="1"/>
    <xf numFmtId="14" fontId="13" fillId="0" borderId="0" xfId="0" applyNumberFormat="1" applyFont="1" applyAlignment="1">
      <alignment horizontal="left"/>
    </xf>
    <xf numFmtId="3" fontId="13" fillId="0" borderId="0" xfId="1" applyNumberFormat="1" applyFont="1" applyAlignment="1">
      <alignment horizontal="right" indent="2"/>
    </xf>
    <xf numFmtId="3" fontId="13" fillId="0" borderId="0" xfId="1" applyNumberFormat="1" applyFont="1" applyAlignment="1">
      <alignment horizontal="right" indent="1"/>
    </xf>
    <xf numFmtId="3" fontId="13" fillId="0" borderId="0" xfId="1" applyNumberFormat="1" applyFont="1" applyAlignment="1">
      <alignment horizontal="center"/>
    </xf>
    <xf numFmtId="171" fontId="13" fillId="0" borderId="0" xfId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2"/>
    </xf>
    <xf numFmtId="171" fontId="13" fillId="0" borderId="0" xfId="1" applyNumberFormat="1" applyFont="1" applyAlignment="1">
      <alignment horizontal="right" indent="1"/>
    </xf>
    <xf numFmtId="171" fontId="13" fillId="0" borderId="1" xfId="1" applyNumberFormat="1" applyFont="1" applyBorder="1" applyAlignment="1">
      <alignment horizontal="right" indent="2"/>
    </xf>
    <xf numFmtId="0" fontId="15" fillId="0" borderId="0" xfId="0" applyFont="1"/>
    <xf numFmtId="0" fontId="13" fillId="0" borderId="0" xfId="0" applyFont="1" applyBorder="1" applyAlignment="1">
      <alignment horizontal="center"/>
    </xf>
    <xf numFmtId="171" fontId="13" fillId="0" borderId="1" xfId="1" applyNumberFormat="1" applyFont="1" applyBorder="1" applyAlignment="1">
      <alignment horizontal="center"/>
    </xf>
    <xf numFmtId="0" fontId="13" fillId="0" borderId="3" xfId="0" applyFont="1" applyBorder="1"/>
    <xf numFmtId="0" fontId="13" fillId="0" borderId="0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/>
    <xf numFmtId="37" fontId="13" fillId="0" borderId="0" xfId="1" applyNumberFormat="1" applyFont="1" applyAlignment="1">
      <alignment horizontal="center"/>
    </xf>
    <xf numFmtId="37" fontId="13" fillId="0" borderId="0" xfId="1" applyNumberFormat="1" applyFont="1" applyAlignment="1">
      <alignment horizontal="right" indent="2"/>
    </xf>
    <xf numFmtId="37" fontId="13" fillId="0" borderId="0" xfId="1" applyNumberFormat="1" applyFont="1" applyAlignment="1">
      <alignment horizontal="right" indent="1"/>
    </xf>
    <xf numFmtId="37" fontId="13" fillId="0" borderId="1" xfId="1" applyNumberFormat="1" applyFont="1" applyBorder="1" applyAlignment="1">
      <alignment horizontal="center"/>
    </xf>
    <xf numFmtId="37" fontId="13" fillId="0" borderId="1" xfId="1" applyNumberFormat="1" applyFont="1" applyBorder="1" applyAlignment="1">
      <alignment horizontal="right" indent="2"/>
    </xf>
    <xf numFmtId="165" fontId="13" fillId="0" borderId="1" xfId="1" applyNumberFormat="1" applyFont="1" applyBorder="1"/>
    <xf numFmtId="37" fontId="13" fillId="0" borderId="1" xfId="1" applyNumberFormat="1" applyFont="1" applyBorder="1" applyAlignment="1">
      <alignment horizontal="right" indent="1"/>
    </xf>
    <xf numFmtId="37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/>
    <xf numFmtId="1" fontId="13" fillId="0" borderId="0" xfId="0" applyNumberFormat="1" applyFont="1" applyAlignment="1">
      <alignment horizontal="center"/>
    </xf>
    <xf numFmtId="37" fontId="13" fillId="0" borderId="0" xfId="1" applyNumberFormat="1" applyFont="1" applyBorder="1" applyAlignment="1">
      <alignment horizontal="right" indent="1"/>
    </xf>
    <xf numFmtId="1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4" fontId="13" fillId="0" borderId="0" xfId="0" applyNumberFormat="1" applyFont="1" applyAlignment="1">
      <alignment horizontal="right"/>
    </xf>
    <xf numFmtId="165" fontId="13" fillId="0" borderId="1" xfId="1" applyNumberFormat="1" applyFont="1" applyBorder="1" applyAlignment="1">
      <alignment horizontal="right"/>
    </xf>
    <xf numFmtId="16" fontId="13" fillId="0" borderId="0" xfId="0" applyNumberFormat="1" applyFont="1" applyBorder="1"/>
    <xf numFmtId="0" fontId="14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right" indent="2"/>
    </xf>
    <xf numFmtId="43" fontId="13" fillId="0" borderId="0" xfId="1" quotePrefix="1" applyFont="1" applyBorder="1" applyAlignment="1">
      <alignment horizontal="center"/>
    </xf>
    <xf numFmtId="174" fontId="13" fillId="0" borderId="0" xfId="0" applyNumberFormat="1" applyFont="1" applyBorder="1"/>
    <xf numFmtId="43" fontId="13" fillId="0" borderId="0" xfId="1" quotePrefix="1" applyNumberFormat="1" applyFont="1" applyBorder="1" applyAlignment="1">
      <alignment horizontal="center"/>
    </xf>
    <xf numFmtId="166" fontId="13" fillId="0" borderId="0" xfId="1" quotePrefix="1" applyNumberFormat="1" applyFont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right" indent="2"/>
    </xf>
    <xf numFmtId="43" fontId="13" fillId="0" borderId="0" xfId="1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indent="1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/>
    <xf numFmtId="43" fontId="13" fillId="0" borderId="0" xfId="1" applyNumberFormat="1" applyFont="1" applyBorder="1"/>
    <xf numFmtId="43" fontId="13" fillId="0" borderId="0" xfId="0" applyNumberFormat="1" applyFont="1"/>
    <xf numFmtId="165" fontId="13" fillId="0" borderId="0" xfId="1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3" fillId="0" borderId="0" xfId="0" quotePrefix="1" applyFont="1" applyBorder="1"/>
    <xf numFmtId="0" fontId="13" fillId="0" borderId="1" xfId="0" quotePrefix="1" applyFont="1" applyBorder="1"/>
    <xf numFmtId="43" fontId="13" fillId="0" borderId="1" xfId="1" applyFont="1" applyBorder="1" applyAlignment="1">
      <alignment horizontal="center"/>
    </xf>
    <xf numFmtId="168" fontId="13" fillId="0" borderId="0" xfId="0" applyNumberFormat="1" applyFont="1"/>
    <xf numFmtId="2" fontId="13" fillId="0" borderId="0" xfId="0" applyNumberFormat="1" applyFont="1"/>
    <xf numFmtId="2" fontId="0" fillId="0" borderId="0" xfId="0" applyNumberFormat="1" applyBorder="1" applyAlignment="1">
      <alignment wrapText="1"/>
    </xf>
    <xf numFmtId="2" fontId="13" fillId="0" borderId="0" xfId="0" applyNumberFormat="1" applyFont="1" applyBorder="1" applyAlignment="1">
      <alignment horizontal="center"/>
    </xf>
    <xf numFmtId="0" fontId="0" fillId="0" borderId="0" xfId="0" quotePrefix="1" applyAlignment="1" applyProtection="1">
      <alignment horizontal="left"/>
    </xf>
    <xf numFmtId="0" fontId="2" fillId="0" borderId="0" xfId="10"/>
    <xf numFmtId="14" fontId="0" fillId="0" borderId="0" xfId="0" applyNumberFormat="1"/>
    <xf numFmtId="170" fontId="0" fillId="0" borderId="0" xfId="12" applyNumberFormat="1" applyFont="1"/>
    <xf numFmtId="167" fontId="0" fillId="0" borderId="0" xfId="12" applyNumberFormat="1" applyFont="1"/>
    <xf numFmtId="0" fontId="2" fillId="0" borderId="1" xfId="0" applyFont="1" applyBorder="1"/>
    <xf numFmtId="171" fontId="13" fillId="0" borderId="1" xfId="0" applyNumberFormat="1" applyFont="1" applyBorder="1"/>
    <xf numFmtId="171" fontId="13" fillId="0" borderId="1" xfId="1" applyNumberFormat="1" applyFont="1" applyBorder="1" applyAlignment="1">
      <alignment horizontal="right"/>
    </xf>
    <xf numFmtId="165" fontId="0" fillId="0" borderId="0" xfId="2" applyNumberFormat="1" applyFont="1"/>
    <xf numFmtId="43" fontId="0" fillId="0" borderId="0" xfId="2" applyNumberFormat="1" applyFont="1"/>
    <xf numFmtId="169" fontId="0" fillId="0" borderId="0" xfId="2" applyNumberFormat="1" applyFont="1"/>
    <xf numFmtId="164" fontId="0" fillId="0" borderId="0" xfId="2" applyNumberFormat="1" applyFont="1"/>
    <xf numFmtId="17" fontId="13" fillId="0" borderId="0" xfId="0" applyNumberFormat="1" applyFont="1"/>
    <xf numFmtId="3" fontId="0" fillId="0" borderId="0" xfId="12" applyNumberFormat="1" applyFont="1"/>
    <xf numFmtId="0" fontId="2" fillId="0" borderId="0" xfId="0" applyFont="1" applyBorder="1"/>
    <xf numFmtId="0" fontId="1" fillId="0" borderId="0" xfId="0" applyFont="1"/>
    <xf numFmtId="0" fontId="1" fillId="0" borderId="0" xfId="10" applyFont="1" applyBorder="1"/>
    <xf numFmtId="0" fontId="14" fillId="0" borderId="3" xfId="0" quotePrefix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4" fontId="13" fillId="0" borderId="1" xfId="0" applyNumberFormat="1" applyFont="1" applyBorder="1"/>
    <xf numFmtId="0" fontId="1" fillId="0" borderId="0" xfId="10" applyFont="1"/>
    <xf numFmtId="0" fontId="14" fillId="0" borderId="3" xfId="0" quotePrefix="1" applyFont="1" applyBorder="1" applyAlignment="1">
      <alignment horizontal="center"/>
    </xf>
    <xf numFmtId="0" fontId="0" fillId="0" borderId="2" xfId="0" applyBorder="1"/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167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3" fontId="1" fillId="0" borderId="0" xfId="12" applyNumberFormat="1" applyFont="1"/>
    <xf numFmtId="0" fontId="17" fillId="0" borderId="0" xfId="0" quotePrefix="1" applyFont="1" applyAlignment="1" applyProtection="1">
      <alignment horizontal="left"/>
    </xf>
    <xf numFmtId="2" fontId="0" fillId="0" borderId="0" xfId="0" applyNumberFormat="1" applyProtection="1"/>
    <xf numFmtId="2" fontId="1" fillId="0" borderId="0" xfId="1" applyNumberFormat="1" applyFont="1"/>
    <xf numFmtId="2" fontId="1" fillId="0" borderId="0" xfId="0" applyNumberFormat="1" applyFont="1"/>
    <xf numFmtId="2" fontId="0" fillId="0" borderId="0" xfId="0" applyNumberFormat="1" applyBorder="1"/>
    <xf numFmtId="175" fontId="1" fillId="0" borderId="0" xfId="0" applyNumberFormat="1" applyFont="1" applyBorder="1"/>
    <xf numFmtId="175" fontId="0" fillId="0" borderId="0" xfId="0" applyNumberFormat="1" applyBorder="1"/>
    <xf numFmtId="1" fontId="0" fillId="0" borderId="0" xfId="12" applyNumberFormat="1" applyFont="1"/>
    <xf numFmtId="171" fontId="13" fillId="0" borderId="0" xfId="0" applyNumberFormat="1" applyFont="1" applyBorder="1"/>
    <xf numFmtId="176" fontId="17" fillId="0" borderId="0" xfId="0" quotePrefix="1" applyNumberFormat="1" applyFont="1" applyAlignment="1" applyProtection="1">
      <alignment horizontal="right"/>
    </xf>
    <xf numFmtId="176" fontId="0" fillId="0" borderId="0" xfId="0" quotePrefix="1" applyNumberFormat="1" applyAlignment="1" applyProtection="1">
      <alignment horizontal="right"/>
    </xf>
    <xf numFmtId="164" fontId="0" fillId="0" borderId="0" xfId="1" applyNumberFormat="1" applyFont="1" applyProtection="1"/>
    <xf numFmtId="166" fontId="0" fillId="0" borderId="0" xfId="1" applyNumberFormat="1" applyFont="1"/>
    <xf numFmtId="2" fontId="1" fillId="0" borderId="0" xfId="10" applyNumberFormat="1" applyFont="1"/>
    <xf numFmtId="14" fontId="0" fillId="0" borderId="4" xfId="0" applyNumberFormat="1" applyBorder="1" applyAlignment="1">
      <alignment wrapText="1"/>
    </xf>
    <xf numFmtId="2" fontId="1" fillId="0" borderId="0" xfId="1" applyNumberFormat="1" applyFont="1" applyBorder="1" applyAlignment="1">
      <alignment wrapText="1"/>
    </xf>
    <xf numFmtId="2" fontId="2" fillId="0" borderId="0" xfId="10" applyNumberFormat="1" applyBorder="1" applyAlignment="1">
      <alignment wrapText="1"/>
    </xf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</cellXfs>
  <cellStyles count="13">
    <cellStyle name="Comma" xfId="1" builtinId="3"/>
    <cellStyle name="Comma 2" xfId="2"/>
    <cellStyle name="Comma 3" xfId="3"/>
    <cellStyle name="Hyperlink" xfId="4" builtinId="8"/>
    <cellStyle name="Hyperlink 2" xfId="5"/>
    <cellStyle name="Hyperlink 3" xfId="6"/>
    <cellStyle name="Normal" xfId="0" builtinId="0"/>
    <cellStyle name="Normal 2" xfId="7"/>
    <cellStyle name="Normal 2 2" xfId="8"/>
    <cellStyle name="Normal 3" xfId="9"/>
    <cellStyle name="Normal 4" xfId="10"/>
    <cellStyle name="Normal 5" xfId="11"/>
    <cellStyle name="Percent" xfId="12" builtinId="5"/>
  </cellStyles>
  <dxfs count="0"/>
  <tableStyles count="0" defaultTableStyle="TableStyleMedium9" defaultPivotStyle="PivotStyleLight16"/>
  <colors>
    <mruColors>
      <color rgb="FFFFCF01"/>
      <color rgb="FF0066FF"/>
      <color rgb="FF0000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3" algn="l" rtl="0">
              <a:defRPr sz="105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 baseline="0"/>
              <a:t>Central Illinois cash prices fluctuate as export prospects evolve </a:t>
            </a:r>
            <a:endParaRPr lang="en-US" sz="1050"/>
          </a:p>
        </c:rich>
      </c:tx>
      <c:layout>
        <c:manualLayout>
          <c:xMode val="edge"/>
          <c:yMode val="edge"/>
          <c:x val="2.9615954329162329E-2"/>
          <c:y val="6.21380693648082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203390556188967E-2"/>
          <c:y val="0.19511964750582575"/>
          <c:w val="0.74789475912285153"/>
          <c:h val="0.66161589696209167"/>
        </c:manualLayout>
      </c:layout>
      <c:lineChart>
        <c:grouping val="standard"/>
        <c:varyColors val="0"/>
        <c:ser>
          <c:idx val="1"/>
          <c:order val="0"/>
          <c:tx>
            <c:strRef>
              <c:f>Cover!$B$2</c:f>
              <c:strCache>
                <c:ptCount val="1"/>
                <c:pt idx="0">
                  <c:v>Soybeans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Cover!$A$4:$A$313</c:f>
              <c:numCache>
                <c:formatCode>m/d/yyyy</c:formatCode>
                <c:ptCount val="310"/>
                <c:pt idx="0">
                  <c:v>43347</c:v>
                </c:pt>
                <c:pt idx="1">
                  <c:v>43348</c:v>
                </c:pt>
                <c:pt idx="2">
                  <c:v>43349</c:v>
                </c:pt>
                <c:pt idx="3">
                  <c:v>43350</c:v>
                </c:pt>
                <c:pt idx="4">
                  <c:v>43353</c:v>
                </c:pt>
                <c:pt idx="5">
                  <c:v>43354</c:v>
                </c:pt>
                <c:pt idx="6">
                  <c:v>43355</c:v>
                </c:pt>
                <c:pt idx="7">
                  <c:v>43356</c:v>
                </c:pt>
                <c:pt idx="8">
                  <c:v>43357</c:v>
                </c:pt>
                <c:pt idx="9">
                  <c:v>43360</c:v>
                </c:pt>
                <c:pt idx="10">
                  <c:v>43361</c:v>
                </c:pt>
                <c:pt idx="11">
                  <c:v>43362</c:v>
                </c:pt>
                <c:pt idx="12">
                  <c:v>43363</c:v>
                </c:pt>
                <c:pt idx="13">
                  <c:v>43364</c:v>
                </c:pt>
                <c:pt idx="14">
                  <c:v>43367</c:v>
                </c:pt>
                <c:pt idx="15">
                  <c:v>43368</c:v>
                </c:pt>
                <c:pt idx="16">
                  <c:v>43369</c:v>
                </c:pt>
                <c:pt idx="17">
                  <c:v>43370</c:v>
                </c:pt>
                <c:pt idx="18">
                  <c:v>43371</c:v>
                </c:pt>
                <c:pt idx="19">
                  <c:v>43374</c:v>
                </c:pt>
                <c:pt idx="20">
                  <c:v>43375</c:v>
                </c:pt>
                <c:pt idx="21">
                  <c:v>43376</c:v>
                </c:pt>
                <c:pt idx="22">
                  <c:v>43377</c:v>
                </c:pt>
                <c:pt idx="23">
                  <c:v>43378</c:v>
                </c:pt>
                <c:pt idx="24">
                  <c:v>43381</c:v>
                </c:pt>
                <c:pt idx="25">
                  <c:v>43382</c:v>
                </c:pt>
                <c:pt idx="26">
                  <c:v>43383</c:v>
                </c:pt>
                <c:pt idx="27">
                  <c:v>43384</c:v>
                </c:pt>
                <c:pt idx="28">
                  <c:v>43385</c:v>
                </c:pt>
                <c:pt idx="29">
                  <c:v>43388</c:v>
                </c:pt>
                <c:pt idx="30">
                  <c:v>43389</c:v>
                </c:pt>
                <c:pt idx="31">
                  <c:v>43390</c:v>
                </c:pt>
                <c:pt idx="32">
                  <c:v>43391</c:v>
                </c:pt>
                <c:pt idx="33">
                  <c:v>43392</c:v>
                </c:pt>
                <c:pt idx="34">
                  <c:v>43395</c:v>
                </c:pt>
                <c:pt idx="35">
                  <c:v>43396</c:v>
                </c:pt>
                <c:pt idx="36">
                  <c:v>43397</c:v>
                </c:pt>
                <c:pt idx="37">
                  <c:v>43398</c:v>
                </c:pt>
                <c:pt idx="38">
                  <c:v>43399</c:v>
                </c:pt>
                <c:pt idx="39">
                  <c:v>43402</c:v>
                </c:pt>
                <c:pt idx="40">
                  <c:v>43403</c:v>
                </c:pt>
                <c:pt idx="41">
                  <c:v>43404</c:v>
                </c:pt>
                <c:pt idx="42">
                  <c:v>43405</c:v>
                </c:pt>
                <c:pt idx="43">
                  <c:v>43406</c:v>
                </c:pt>
                <c:pt idx="44">
                  <c:v>43409</c:v>
                </c:pt>
                <c:pt idx="45">
                  <c:v>43410</c:v>
                </c:pt>
                <c:pt idx="46">
                  <c:v>43411</c:v>
                </c:pt>
                <c:pt idx="47">
                  <c:v>43412</c:v>
                </c:pt>
                <c:pt idx="48">
                  <c:v>43413</c:v>
                </c:pt>
                <c:pt idx="49">
                  <c:v>43416</c:v>
                </c:pt>
                <c:pt idx="50">
                  <c:v>43417</c:v>
                </c:pt>
                <c:pt idx="51">
                  <c:v>43418</c:v>
                </c:pt>
                <c:pt idx="52">
                  <c:v>43419</c:v>
                </c:pt>
                <c:pt idx="53">
                  <c:v>43420</c:v>
                </c:pt>
                <c:pt idx="54">
                  <c:v>43423</c:v>
                </c:pt>
                <c:pt idx="55">
                  <c:v>43424</c:v>
                </c:pt>
                <c:pt idx="56">
                  <c:v>43425</c:v>
                </c:pt>
                <c:pt idx="57">
                  <c:v>43430</c:v>
                </c:pt>
                <c:pt idx="58">
                  <c:v>43431</c:v>
                </c:pt>
                <c:pt idx="59">
                  <c:v>43432</c:v>
                </c:pt>
                <c:pt idx="60">
                  <c:v>43433</c:v>
                </c:pt>
                <c:pt idx="61">
                  <c:v>43434</c:v>
                </c:pt>
                <c:pt idx="62">
                  <c:v>43437</c:v>
                </c:pt>
                <c:pt idx="63">
                  <c:v>43438</c:v>
                </c:pt>
                <c:pt idx="64">
                  <c:v>43439</c:v>
                </c:pt>
                <c:pt idx="65">
                  <c:v>43440</c:v>
                </c:pt>
                <c:pt idx="66">
                  <c:v>43441</c:v>
                </c:pt>
                <c:pt idx="67">
                  <c:v>43444</c:v>
                </c:pt>
                <c:pt idx="68">
                  <c:v>43445</c:v>
                </c:pt>
                <c:pt idx="69">
                  <c:v>43446</c:v>
                </c:pt>
                <c:pt idx="70">
                  <c:v>43447</c:v>
                </c:pt>
                <c:pt idx="71">
                  <c:v>43448</c:v>
                </c:pt>
                <c:pt idx="72">
                  <c:v>43451</c:v>
                </c:pt>
                <c:pt idx="73">
                  <c:v>43452</c:v>
                </c:pt>
                <c:pt idx="74">
                  <c:v>43453</c:v>
                </c:pt>
                <c:pt idx="75">
                  <c:v>43454</c:v>
                </c:pt>
                <c:pt idx="76">
                  <c:v>43455</c:v>
                </c:pt>
                <c:pt idx="77">
                  <c:v>43458</c:v>
                </c:pt>
                <c:pt idx="78">
                  <c:v>43460</c:v>
                </c:pt>
                <c:pt idx="79">
                  <c:v>43461</c:v>
                </c:pt>
                <c:pt idx="80">
                  <c:v>43462</c:v>
                </c:pt>
                <c:pt idx="81">
                  <c:v>43465</c:v>
                </c:pt>
                <c:pt idx="82">
                  <c:v>43467</c:v>
                </c:pt>
                <c:pt idx="83">
                  <c:v>43468</c:v>
                </c:pt>
                <c:pt idx="84">
                  <c:v>43469</c:v>
                </c:pt>
                <c:pt idx="85">
                  <c:v>43472</c:v>
                </c:pt>
                <c:pt idx="86">
                  <c:v>43473</c:v>
                </c:pt>
                <c:pt idx="87">
                  <c:v>43474</c:v>
                </c:pt>
                <c:pt idx="88">
                  <c:v>43475</c:v>
                </c:pt>
                <c:pt idx="89">
                  <c:v>43476</c:v>
                </c:pt>
                <c:pt idx="90">
                  <c:v>43479</c:v>
                </c:pt>
                <c:pt idx="91">
                  <c:v>43480</c:v>
                </c:pt>
                <c:pt idx="92">
                  <c:v>43481</c:v>
                </c:pt>
                <c:pt idx="93">
                  <c:v>43482</c:v>
                </c:pt>
                <c:pt idx="94">
                  <c:v>43483</c:v>
                </c:pt>
                <c:pt idx="95">
                  <c:v>43487</c:v>
                </c:pt>
                <c:pt idx="96">
                  <c:v>43488</c:v>
                </c:pt>
                <c:pt idx="97">
                  <c:v>43489</c:v>
                </c:pt>
                <c:pt idx="98">
                  <c:v>43490</c:v>
                </c:pt>
                <c:pt idx="99">
                  <c:v>43493</c:v>
                </c:pt>
                <c:pt idx="100">
                  <c:v>43494</c:v>
                </c:pt>
                <c:pt idx="101">
                  <c:v>43495</c:v>
                </c:pt>
                <c:pt idx="102">
                  <c:v>43496</c:v>
                </c:pt>
                <c:pt idx="103">
                  <c:v>43497</c:v>
                </c:pt>
                <c:pt idx="104">
                  <c:v>43500</c:v>
                </c:pt>
                <c:pt idx="105">
                  <c:v>43501</c:v>
                </c:pt>
                <c:pt idx="106">
                  <c:v>43502</c:v>
                </c:pt>
                <c:pt idx="107">
                  <c:v>43503</c:v>
                </c:pt>
                <c:pt idx="108">
                  <c:v>43504</c:v>
                </c:pt>
                <c:pt idx="109">
                  <c:v>43507</c:v>
                </c:pt>
                <c:pt idx="110">
                  <c:v>43508</c:v>
                </c:pt>
                <c:pt idx="111">
                  <c:v>43509</c:v>
                </c:pt>
                <c:pt idx="112">
                  <c:v>43510</c:v>
                </c:pt>
                <c:pt idx="113">
                  <c:v>43511</c:v>
                </c:pt>
                <c:pt idx="114">
                  <c:v>43515</c:v>
                </c:pt>
                <c:pt idx="115">
                  <c:v>43516</c:v>
                </c:pt>
                <c:pt idx="116">
                  <c:v>43517</c:v>
                </c:pt>
                <c:pt idx="117">
                  <c:v>43518</c:v>
                </c:pt>
                <c:pt idx="118">
                  <c:v>43521</c:v>
                </c:pt>
                <c:pt idx="119">
                  <c:v>43522</c:v>
                </c:pt>
                <c:pt idx="120">
                  <c:v>43523</c:v>
                </c:pt>
                <c:pt idx="121">
                  <c:v>43524</c:v>
                </c:pt>
                <c:pt idx="122">
                  <c:v>43525</c:v>
                </c:pt>
                <c:pt idx="123">
                  <c:v>43528</c:v>
                </c:pt>
                <c:pt idx="124">
                  <c:v>43529</c:v>
                </c:pt>
                <c:pt idx="125">
                  <c:v>43530</c:v>
                </c:pt>
                <c:pt idx="126">
                  <c:v>43531</c:v>
                </c:pt>
                <c:pt idx="127">
                  <c:v>43532</c:v>
                </c:pt>
                <c:pt idx="128">
                  <c:v>43535</c:v>
                </c:pt>
                <c:pt idx="129">
                  <c:v>43536</c:v>
                </c:pt>
                <c:pt idx="130">
                  <c:v>43537</c:v>
                </c:pt>
                <c:pt idx="131">
                  <c:v>43538</c:v>
                </c:pt>
                <c:pt idx="132">
                  <c:v>43539</c:v>
                </c:pt>
                <c:pt idx="133">
                  <c:v>43542</c:v>
                </c:pt>
                <c:pt idx="134">
                  <c:v>43543</c:v>
                </c:pt>
                <c:pt idx="135">
                  <c:v>43544</c:v>
                </c:pt>
                <c:pt idx="136">
                  <c:v>43545</c:v>
                </c:pt>
                <c:pt idx="137">
                  <c:v>43546</c:v>
                </c:pt>
                <c:pt idx="138">
                  <c:v>43549</c:v>
                </c:pt>
                <c:pt idx="139">
                  <c:v>43550</c:v>
                </c:pt>
                <c:pt idx="140">
                  <c:v>43551</c:v>
                </c:pt>
                <c:pt idx="141">
                  <c:v>43552</c:v>
                </c:pt>
                <c:pt idx="142">
                  <c:v>43553</c:v>
                </c:pt>
                <c:pt idx="143">
                  <c:v>43556</c:v>
                </c:pt>
                <c:pt idx="144">
                  <c:v>43557</c:v>
                </c:pt>
                <c:pt idx="145">
                  <c:v>43558</c:v>
                </c:pt>
                <c:pt idx="146">
                  <c:v>43559</c:v>
                </c:pt>
                <c:pt idx="147">
                  <c:v>43560</c:v>
                </c:pt>
                <c:pt idx="148">
                  <c:v>43563</c:v>
                </c:pt>
                <c:pt idx="149">
                  <c:v>43564</c:v>
                </c:pt>
                <c:pt idx="150">
                  <c:v>43565</c:v>
                </c:pt>
                <c:pt idx="151">
                  <c:v>43566</c:v>
                </c:pt>
                <c:pt idx="152">
                  <c:v>43567</c:v>
                </c:pt>
                <c:pt idx="153">
                  <c:v>43570</c:v>
                </c:pt>
                <c:pt idx="154">
                  <c:v>43571</c:v>
                </c:pt>
                <c:pt idx="155">
                  <c:v>43572</c:v>
                </c:pt>
                <c:pt idx="156">
                  <c:v>43573</c:v>
                </c:pt>
                <c:pt idx="157">
                  <c:v>43577</c:v>
                </c:pt>
                <c:pt idx="158">
                  <c:v>43578</c:v>
                </c:pt>
                <c:pt idx="159">
                  <c:v>43579</c:v>
                </c:pt>
                <c:pt idx="160">
                  <c:v>43580</c:v>
                </c:pt>
                <c:pt idx="161">
                  <c:v>43581</c:v>
                </c:pt>
                <c:pt idx="162">
                  <c:v>43584</c:v>
                </c:pt>
                <c:pt idx="163">
                  <c:v>43585</c:v>
                </c:pt>
                <c:pt idx="164">
                  <c:v>43586</c:v>
                </c:pt>
                <c:pt idx="165">
                  <c:v>43587</c:v>
                </c:pt>
                <c:pt idx="166">
                  <c:v>43588</c:v>
                </c:pt>
                <c:pt idx="167">
                  <c:v>43591</c:v>
                </c:pt>
                <c:pt idx="168">
                  <c:v>43592</c:v>
                </c:pt>
                <c:pt idx="169">
                  <c:v>43593</c:v>
                </c:pt>
                <c:pt idx="170">
                  <c:v>43594</c:v>
                </c:pt>
                <c:pt idx="171">
                  <c:v>43595</c:v>
                </c:pt>
                <c:pt idx="172">
                  <c:v>43598</c:v>
                </c:pt>
                <c:pt idx="173">
                  <c:v>43599</c:v>
                </c:pt>
                <c:pt idx="174">
                  <c:v>43600</c:v>
                </c:pt>
                <c:pt idx="175">
                  <c:v>43601</c:v>
                </c:pt>
                <c:pt idx="176">
                  <c:v>43602</c:v>
                </c:pt>
                <c:pt idx="177">
                  <c:v>43605</c:v>
                </c:pt>
                <c:pt idx="178">
                  <c:v>43606</c:v>
                </c:pt>
                <c:pt idx="179">
                  <c:v>43607</c:v>
                </c:pt>
                <c:pt idx="180">
                  <c:v>43608</c:v>
                </c:pt>
                <c:pt idx="181">
                  <c:v>43609</c:v>
                </c:pt>
                <c:pt idx="182">
                  <c:v>43613</c:v>
                </c:pt>
                <c:pt idx="183">
                  <c:v>43614</c:v>
                </c:pt>
                <c:pt idx="184">
                  <c:v>43615</c:v>
                </c:pt>
                <c:pt idx="185">
                  <c:v>43616</c:v>
                </c:pt>
                <c:pt idx="186">
                  <c:v>43619</c:v>
                </c:pt>
                <c:pt idx="187">
                  <c:v>43620</c:v>
                </c:pt>
                <c:pt idx="188">
                  <c:v>43621</c:v>
                </c:pt>
                <c:pt idx="189">
                  <c:v>43622</c:v>
                </c:pt>
                <c:pt idx="190">
                  <c:v>43623</c:v>
                </c:pt>
                <c:pt idx="191">
                  <c:v>43626</c:v>
                </c:pt>
                <c:pt idx="192">
                  <c:v>43627</c:v>
                </c:pt>
                <c:pt idx="193">
                  <c:v>43628</c:v>
                </c:pt>
                <c:pt idx="194">
                  <c:v>43629</c:v>
                </c:pt>
                <c:pt idx="195">
                  <c:v>43630</c:v>
                </c:pt>
                <c:pt idx="196">
                  <c:v>43633</c:v>
                </c:pt>
                <c:pt idx="197">
                  <c:v>43634</c:v>
                </c:pt>
                <c:pt idx="198">
                  <c:v>43635</c:v>
                </c:pt>
                <c:pt idx="199">
                  <c:v>43636</c:v>
                </c:pt>
                <c:pt idx="200">
                  <c:v>43637</c:v>
                </c:pt>
                <c:pt idx="201">
                  <c:v>43640</c:v>
                </c:pt>
                <c:pt idx="202">
                  <c:v>43641</c:v>
                </c:pt>
                <c:pt idx="203">
                  <c:v>43642</c:v>
                </c:pt>
                <c:pt idx="204">
                  <c:v>43643</c:v>
                </c:pt>
                <c:pt idx="205">
                  <c:v>43644</c:v>
                </c:pt>
                <c:pt idx="206">
                  <c:v>43647</c:v>
                </c:pt>
                <c:pt idx="207">
                  <c:v>43648</c:v>
                </c:pt>
                <c:pt idx="208">
                  <c:v>43649</c:v>
                </c:pt>
                <c:pt idx="209">
                  <c:v>43651</c:v>
                </c:pt>
                <c:pt idx="210">
                  <c:v>43654</c:v>
                </c:pt>
                <c:pt idx="211">
                  <c:v>43655</c:v>
                </c:pt>
                <c:pt idx="212">
                  <c:v>43656</c:v>
                </c:pt>
                <c:pt idx="213">
                  <c:v>43657</c:v>
                </c:pt>
                <c:pt idx="214">
                  <c:v>43658</c:v>
                </c:pt>
                <c:pt idx="215">
                  <c:v>43661</c:v>
                </c:pt>
                <c:pt idx="216">
                  <c:v>43662</c:v>
                </c:pt>
                <c:pt idx="217">
                  <c:v>43663</c:v>
                </c:pt>
                <c:pt idx="218">
                  <c:v>43664</c:v>
                </c:pt>
                <c:pt idx="219">
                  <c:v>43665</c:v>
                </c:pt>
                <c:pt idx="220">
                  <c:v>43668</c:v>
                </c:pt>
                <c:pt idx="221">
                  <c:v>43669</c:v>
                </c:pt>
                <c:pt idx="222">
                  <c:v>43670</c:v>
                </c:pt>
                <c:pt idx="223">
                  <c:v>43671</c:v>
                </c:pt>
                <c:pt idx="224">
                  <c:v>43672</c:v>
                </c:pt>
                <c:pt idx="225">
                  <c:v>43675</c:v>
                </c:pt>
                <c:pt idx="226">
                  <c:v>43676</c:v>
                </c:pt>
                <c:pt idx="227">
                  <c:v>43677</c:v>
                </c:pt>
                <c:pt idx="228">
                  <c:v>43678</c:v>
                </c:pt>
                <c:pt idx="229">
                  <c:v>43679</c:v>
                </c:pt>
                <c:pt idx="230">
                  <c:v>43682</c:v>
                </c:pt>
                <c:pt idx="231">
                  <c:v>43683</c:v>
                </c:pt>
                <c:pt idx="232">
                  <c:v>43684</c:v>
                </c:pt>
                <c:pt idx="233">
                  <c:v>43685</c:v>
                </c:pt>
                <c:pt idx="234">
                  <c:v>43686</c:v>
                </c:pt>
                <c:pt idx="235">
                  <c:v>43689</c:v>
                </c:pt>
                <c:pt idx="236">
                  <c:v>43690</c:v>
                </c:pt>
                <c:pt idx="237">
                  <c:v>43691</c:v>
                </c:pt>
                <c:pt idx="238">
                  <c:v>43692</c:v>
                </c:pt>
                <c:pt idx="239">
                  <c:v>43693</c:v>
                </c:pt>
                <c:pt idx="240">
                  <c:v>43696</c:v>
                </c:pt>
                <c:pt idx="241">
                  <c:v>43697</c:v>
                </c:pt>
                <c:pt idx="242">
                  <c:v>43698</c:v>
                </c:pt>
                <c:pt idx="243">
                  <c:v>43699</c:v>
                </c:pt>
                <c:pt idx="244">
                  <c:v>43700</c:v>
                </c:pt>
                <c:pt idx="245">
                  <c:v>43703</c:v>
                </c:pt>
                <c:pt idx="246">
                  <c:v>43704</c:v>
                </c:pt>
                <c:pt idx="247">
                  <c:v>43705</c:v>
                </c:pt>
                <c:pt idx="248">
                  <c:v>43706</c:v>
                </c:pt>
                <c:pt idx="249">
                  <c:v>43707</c:v>
                </c:pt>
                <c:pt idx="250">
                  <c:v>43711</c:v>
                </c:pt>
                <c:pt idx="251">
                  <c:v>43712</c:v>
                </c:pt>
                <c:pt idx="252">
                  <c:v>43713</c:v>
                </c:pt>
                <c:pt idx="253">
                  <c:v>43714</c:v>
                </c:pt>
                <c:pt idx="254">
                  <c:v>43717</c:v>
                </c:pt>
                <c:pt idx="255">
                  <c:v>43718</c:v>
                </c:pt>
                <c:pt idx="256">
                  <c:v>43719</c:v>
                </c:pt>
                <c:pt idx="257">
                  <c:v>43720</c:v>
                </c:pt>
                <c:pt idx="258">
                  <c:v>43721</c:v>
                </c:pt>
                <c:pt idx="259">
                  <c:v>43724</c:v>
                </c:pt>
                <c:pt idx="260">
                  <c:v>43725</c:v>
                </c:pt>
                <c:pt idx="261">
                  <c:v>43726</c:v>
                </c:pt>
                <c:pt idx="262">
                  <c:v>43727</c:v>
                </c:pt>
                <c:pt idx="263">
                  <c:v>43728</c:v>
                </c:pt>
                <c:pt idx="264">
                  <c:v>43731</c:v>
                </c:pt>
                <c:pt idx="265">
                  <c:v>43732</c:v>
                </c:pt>
                <c:pt idx="266">
                  <c:v>43733</c:v>
                </c:pt>
                <c:pt idx="267">
                  <c:v>43734</c:v>
                </c:pt>
                <c:pt idx="268">
                  <c:v>43735</c:v>
                </c:pt>
                <c:pt idx="269">
                  <c:v>43738</c:v>
                </c:pt>
                <c:pt idx="270">
                  <c:v>43739</c:v>
                </c:pt>
                <c:pt idx="271">
                  <c:v>43740</c:v>
                </c:pt>
                <c:pt idx="272">
                  <c:v>43741</c:v>
                </c:pt>
                <c:pt idx="273">
                  <c:v>43742</c:v>
                </c:pt>
                <c:pt idx="274">
                  <c:v>43745</c:v>
                </c:pt>
                <c:pt idx="275">
                  <c:v>43746</c:v>
                </c:pt>
                <c:pt idx="276">
                  <c:v>43747</c:v>
                </c:pt>
                <c:pt idx="277">
                  <c:v>43748</c:v>
                </c:pt>
                <c:pt idx="278">
                  <c:v>43749</c:v>
                </c:pt>
                <c:pt idx="279">
                  <c:v>43753</c:v>
                </c:pt>
                <c:pt idx="280">
                  <c:v>43754</c:v>
                </c:pt>
                <c:pt idx="281">
                  <c:v>43755</c:v>
                </c:pt>
                <c:pt idx="282">
                  <c:v>43756</c:v>
                </c:pt>
                <c:pt idx="283">
                  <c:v>43759</c:v>
                </c:pt>
                <c:pt idx="284">
                  <c:v>43760</c:v>
                </c:pt>
                <c:pt idx="285">
                  <c:v>43761</c:v>
                </c:pt>
                <c:pt idx="286">
                  <c:v>43762</c:v>
                </c:pt>
                <c:pt idx="287">
                  <c:v>43763</c:v>
                </c:pt>
                <c:pt idx="288">
                  <c:v>43766</c:v>
                </c:pt>
                <c:pt idx="289">
                  <c:v>43767</c:v>
                </c:pt>
                <c:pt idx="290">
                  <c:v>43768</c:v>
                </c:pt>
                <c:pt idx="291">
                  <c:v>43769</c:v>
                </c:pt>
                <c:pt idx="292">
                  <c:v>43770</c:v>
                </c:pt>
                <c:pt idx="293">
                  <c:v>43773</c:v>
                </c:pt>
                <c:pt idx="294">
                  <c:v>43774</c:v>
                </c:pt>
                <c:pt idx="295">
                  <c:v>43775</c:v>
                </c:pt>
                <c:pt idx="296">
                  <c:v>43776</c:v>
                </c:pt>
                <c:pt idx="297">
                  <c:v>43777</c:v>
                </c:pt>
                <c:pt idx="298">
                  <c:v>43781</c:v>
                </c:pt>
                <c:pt idx="299">
                  <c:v>43782</c:v>
                </c:pt>
                <c:pt idx="300">
                  <c:v>43783</c:v>
                </c:pt>
                <c:pt idx="301">
                  <c:v>43784</c:v>
                </c:pt>
                <c:pt idx="302">
                  <c:v>43787</c:v>
                </c:pt>
                <c:pt idx="303">
                  <c:v>43788</c:v>
                </c:pt>
                <c:pt idx="304">
                  <c:v>43789</c:v>
                </c:pt>
                <c:pt idx="305">
                  <c:v>43790</c:v>
                </c:pt>
                <c:pt idx="306">
                  <c:v>43791</c:v>
                </c:pt>
                <c:pt idx="307">
                  <c:v>43794</c:v>
                </c:pt>
                <c:pt idx="308">
                  <c:v>43795</c:v>
                </c:pt>
                <c:pt idx="309">
                  <c:v>43796</c:v>
                </c:pt>
              </c:numCache>
            </c:numRef>
          </c:cat>
          <c:val>
            <c:numRef>
              <c:f>Cover!$B$4:$B$313</c:f>
              <c:numCache>
                <c:formatCode>0.00</c:formatCode>
                <c:ptCount val="310"/>
                <c:pt idx="0">
                  <c:v>7.9649999999999999</c:v>
                </c:pt>
                <c:pt idx="1">
                  <c:v>7.9049999999999994</c:v>
                </c:pt>
                <c:pt idx="2">
                  <c:v>7.9149999999999991</c:v>
                </c:pt>
                <c:pt idx="3">
                  <c:v>7.9399999999999995</c:v>
                </c:pt>
                <c:pt idx="4">
                  <c:v>7.915</c:v>
                </c:pt>
                <c:pt idx="5">
                  <c:v>7.7949999999999999</c:v>
                </c:pt>
                <c:pt idx="6">
                  <c:v>7.8149999999999995</c:v>
                </c:pt>
                <c:pt idx="7">
                  <c:v>7.73</c:v>
                </c:pt>
                <c:pt idx="8">
                  <c:v>7.78</c:v>
                </c:pt>
                <c:pt idx="9">
                  <c:v>7.6899999999999995</c:v>
                </c:pt>
                <c:pt idx="10">
                  <c:v>7.5649999999999995</c:v>
                </c:pt>
                <c:pt idx="11">
                  <c:v>7.7249999999999996</c:v>
                </c:pt>
                <c:pt idx="12">
                  <c:v>7.9249999999999998</c:v>
                </c:pt>
                <c:pt idx="13">
                  <c:v>7.93</c:v>
                </c:pt>
                <c:pt idx="14">
                  <c:v>7.87</c:v>
                </c:pt>
                <c:pt idx="15">
                  <c:v>7.8949999999999996</c:v>
                </c:pt>
                <c:pt idx="16">
                  <c:v>7.96</c:v>
                </c:pt>
                <c:pt idx="17">
                  <c:v>8.01</c:v>
                </c:pt>
                <c:pt idx="18">
                  <c:v>7.8900000000000006</c:v>
                </c:pt>
                <c:pt idx="19">
                  <c:v>8.0399999999999991</c:v>
                </c:pt>
                <c:pt idx="20">
                  <c:v>8.120000000000001</c:v>
                </c:pt>
                <c:pt idx="21">
                  <c:v>8.09</c:v>
                </c:pt>
                <c:pt idx="22">
                  <c:v>8.0749999999999993</c:v>
                </c:pt>
                <c:pt idx="23">
                  <c:v>8.1900000000000013</c:v>
                </c:pt>
                <c:pt idx="24">
                  <c:v>8.1999999999999993</c:v>
                </c:pt>
                <c:pt idx="25">
                  <c:v>8.18</c:v>
                </c:pt>
                <c:pt idx="26">
                  <c:v>8.07</c:v>
                </c:pt>
                <c:pt idx="27">
                  <c:v>8.120000000000001</c:v>
                </c:pt>
                <c:pt idx="28">
                  <c:v>8.2199999999999989</c:v>
                </c:pt>
                <c:pt idx="29">
                  <c:v>8.4699999999999989</c:v>
                </c:pt>
                <c:pt idx="30">
                  <c:v>8.4149999999999991</c:v>
                </c:pt>
                <c:pt idx="31">
                  <c:v>8.4499999999999993</c:v>
                </c:pt>
                <c:pt idx="32">
                  <c:v>8.2100000000000009</c:v>
                </c:pt>
                <c:pt idx="33">
                  <c:v>8.120000000000001</c:v>
                </c:pt>
                <c:pt idx="34">
                  <c:v>8.14</c:v>
                </c:pt>
                <c:pt idx="35">
                  <c:v>8.129999999999999</c:v>
                </c:pt>
                <c:pt idx="36">
                  <c:v>8.0500000000000007</c:v>
                </c:pt>
                <c:pt idx="37">
                  <c:v>7.9550000000000001</c:v>
                </c:pt>
                <c:pt idx="38">
                  <c:v>7.9850000000000003</c:v>
                </c:pt>
                <c:pt idx="39">
                  <c:v>7.9249999999999998</c:v>
                </c:pt>
                <c:pt idx="40">
                  <c:v>7.9</c:v>
                </c:pt>
                <c:pt idx="41">
                  <c:v>7.9450000000000003</c:v>
                </c:pt>
                <c:pt idx="42">
                  <c:v>8.2800000000000011</c:v>
                </c:pt>
                <c:pt idx="43">
                  <c:v>8.4049999999999994</c:v>
                </c:pt>
                <c:pt idx="44">
                  <c:v>8.4350000000000005</c:v>
                </c:pt>
                <c:pt idx="45">
                  <c:v>8.4649999999999999</c:v>
                </c:pt>
                <c:pt idx="46">
                  <c:v>8.42</c:v>
                </c:pt>
                <c:pt idx="47">
                  <c:v>8.4149999999999991</c:v>
                </c:pt>
                <c:pt idx="48">
                  <c:v>8.51</c:v>
                </c:pt>
                <c:pt idx="49">
                  <c:v>8.48</c:v>
                </c:pt>
                <c:pt idx="50">
                  <c:v>8.4050000000000011</c:v>
                </c:pt>
                <c:pt idx="51">
                  <c:v>8.4600000000000009</c:v>
                </c:pt>
                <c:pt idx="52">
                  <c:v>8.5150000000000006</c:v>
                </c:pt>
                <c:pt idx="53">
                  <c:v>8.5449999999999999</c:v>
                </c:pt>
                <c:pt idx="54">
                  <c:v>8.3649999999999984</c:v>
                </c:pt>
                <c:pt idx="55">
                  <c:v>8.4349999999999987</c:v>
                </c:pt>
                <c:pt idx="56">
                  <c:v>8.4550000000000001</c:v>
                </c:pt>
                <c:pt idx="57">
                  <c:v>8.3049999999999997</c:v>
                </c:pt>
                <c:pt idx="58">
                  <c:v>8.44</c:v>
                </c:pt>
                <c:pt idx="59">
                  <c:v>8.629999999999999</c:v>
                </c:pt>
                <c:pt idx="60">
                  <c:v>8.6050000000000004</c:v>
                </c:pt>
                <c:pt idx="61">
                  <c:v>8.6850000000000005</c:v>
                </c:pt>
                <c:pt idx="62">
                  <c:v>8.76</c:v>
                </c:pt>
                <c:pt idx="63">
                  <c:v>8.8550000000000004</c:v>
                </c:pt>
                <c:pt idx="64">
                  <c:v>8.8500000000000014</c:v>
                </c:pt>
                <c:pt idx="65">
                  <c:v>8.8099999999999987</c:v>
                </c:pt>
                <c:pt idx="66">
                  <c:v>8.8650000000000002</c:v>
                </c:pt>
                <c:pt idx="67">
                  <c:v>8.8049999999999997</c:v>
                </c:pt>
                <c:pt idx="68">
                  <c:v>8.8449999999999989</c:v>
                </c:pt>
                <c:pt idx="69">
                  <c:v>8.8850000000000016</c:v>
                </c:pt>
                <c:pt idx="70">
                  <c:v>8.745000000000001</c:v>
                </c:pt>
                <c:pt idx="71">
                  <c:v>8.69</c:v>
                </c:pt>
                <c:pt idx="72">
                  <c:v>8.75</c:v>
                </c:pt>
                <c:pt idx="73">
                  <c:v>8.879999999999999</c:v>
                </c:pt>
                <c:pt idx="74">
                  <c:v>8.7899999999999991</c:v>
                </c:pt>
                <c:pt idx="75">
                  <c:v>8.74</c:v>
                </c:pt>
                <c:pt idx="76">
                  <c:v>8.65</c:v>
                </c:pt>
                <c:pt idx="77">
                  <c:v>8.629999999999999</c:v>
                </c:pt>
                <c:pt idx="78">
                  <c:v>8.49</c:v>
                </c:pt>
                <c:pt idx="79">
                  <c:v>8.48</c:v>
                </c:pt>
                <c:pt idx="80">
                  <c:v>8.620000000000001</c:v>
                </c:pt>
                <c:pt idx="81">
                  <c:v>8.620000000000001</c:v>
                </c:pt>
                <c:pt idx="82">
                  <c:v>8.754999999999999</c:v>
                </c:pt>
                <c:pt idx="83">
                  <c:v>8.8150000000000013</c:v>
                </c:pt>
                <c:pt idx="84">
                  <c:v>8.91</c:v>
                </c:pt>
                <c:pt idx="85">
                  <c:v>8.9349999999999987</c:v>
                </c:pt>
                <c:pt idx="86">
                  <c:v>8.8800000000000008</c:v>
                </c:pt>
                <c:pt idx="87">
                  <c:v>8.9250000000000007</c:v>
                </c:pt>
                <c:pt idx="88">
                  <c:v>8.7250000000000014</c:v>
                </c:pt>
                <c:pt idx="89">
                  <c:v>8.74</c:v>
                </c:pt>
                <c:pt idx="90">
                  <c:v>8.68</c:v>
                </c:pt>
                <c:pt idx="91">
                  <c:v>8.5549999999999997</c:v>
                </c:pt>
                <c:pt idx="92">
                  <c:v>8.59</c:v>
                </c:pt>
                <c:pt idx="93">
                  <c:v>8.7250000000000014</c:v>
                </c:pt>
                <c:pt idx="94">
                  <c:v>8.8249999999999993</c:v>
                </c:pt>
                <c:pt idx="95">
                  <c:v>8.754999999999999</c:v>
                </c:pt>
                <c:pt idx="96">
                  <c:v>8.8350000000000009</c:v>
                </c:pt>
                <c:pt idx="97">
                  <c:v>8.8449999999999989</c:v>
                </c:pt>
                <c:pt idx="98">
                  <c:v>8.9349999999999987</c:v>
                </c:pt>
                <c:pt idx="99">
                  <c:v>8.9149999999999991</c:v>
                </c:pt>
                <c:pt idx="100">
                  <c:v>8.89</c:v>
                </c:pt>
                <c:pt idx="101">
                  <c:v>8.91</c:v>
                </c:pt>
                <c:pt idx="102">
                  <c:v>8.86</c:v>
                </c:pt>
                <c:pt idx="103">
                  <c:v>8.89</c:v>
                </c:pt>
                <c:pt idx="104">
                  <c:v>8.89</c:v>
                </c:pt>
                <c:pt idx="105">
                  <c:v>8.9349999999999987</c:v>
                </c:pt>
                <c:pt idx="106">
                  <c:v>8.9550000000000001</c:v>
                </c:pt>
                <c:pt idx="107">
                  <c:v>8.8650000000000002</c:v>
                </c:pt>
                <c:pt idx="108">
                  <c:v>8.879999999999999</c:v>
                </c:pt>
                <c:pt idx="109">
                  <c:v>8.7899999999999991</c:v>
                </c:pt>
                <c:pt idx="110">
                  <c:v>8.92</c:v>
                </c:pt>
                <c:pt idx="111">
                  <c:v>8.92</c:v>
                </c:pt>
                <c:pt idx="112">
                  <c:v>8.7899999999999991</c:v>
                </c:pt>
                <c:pt idx="113">
                  <c:v>8.83</c:v>
                </c:pt>
                <c:pt idx="114">
                  <c:v>8.7650000000000006</c:v>
                </c:pt>
                <c:pt idx="115">
                  <c:v>8.75</c:v>
                </c:pt>
                <c:pt idx="116">
                  <c:v>8.84</c:v>
                </c:pt>
                <c:pt idx="117">
                  <c:v>8.83</c:v>
                </c:pt>
                <c:pt idx="118">
                  <c:v>8.8500000000000014</c:v>
                </c:pt>
                <c:pt idx="119">
                  <c:v>8.7800000000000011</c:v>
                </c:pt>
                <c:pt idx="120">
                  <c:v>8.7800000000000011</c:v>
                </c:pt>
                <c:pt idx="121">
                  <c:v>8.7199999999999989</c:v>
                </c:pt>
                <c:pt idx="122">
                  <c:v>8.73</c:v>
                </c:pt>
                <c:pt idx="123">
                  <c:v>8.7750000000000004</c:v>
                </c:pt>
                <c:pt idx="124">
                  <c:v>8.7650000000000006</c:v>
                </c:pt>
                <c:pt idx="125">
                  <c:v>8.6449999999999996</c:v>
                </c:pt>
                <c:pt idx="126">
                  <c:v>8.66</c:v>
                </c:pt>
                <c:pt idx="127">
                  <c:v>8.629999999999999</c:v>
                </c:pt>
                <c:pt idx="128">
                  <c:v>8.5599999999999987</c:v>
                </c:pt>
                <c:pt idx="129">
                  <c:v>8.6449999999999996</c:v>
                </c:pt>
                <c:pt idx="130">
                  <c:v>8.6850000000000005</c:v>
                </c:pt>
                <c:pt idx="131">
                  <c:v>8.66</c:v>
                </c:pt>
                <c:pt idx="132">
                  <c:v>8.7650000000000006</c:v>
                </c:pt>
                <c:pt idx="133">
                  <c:v>8.76</c:v>
                </c:pt>
                <c:pt idx="134">
                  <c:v>8.75</c:v>
                </c:pt>
                <c:pt idx="135">
                  <c:v>8.77</c:v>
                </c:pt>
                <c:pt idx="136">
                  <c:v>8.81</c:v>
                </c:pt>
                <c:pt idx="137">
                  <c:v>8.75</c:v>
                </c:pt>
                <c:pt idx="138">
                  <c:v>8.75</c:v>
                </c:pt>
                <c:pt idx="139">
                  <c:v>8.6950000000000003</c:v>
                </c:pt>
                <c:pt idx="140">
                  <c:v>8.57</c:v>
                </c:pt>
                <c:pt idx="141">
                  <c:v>8.59</c:v>
                </c:pt>
                <c:pt idx="142">
                  <c:v>8.5350000000000001</c:v>
                </c:pt>
                <c:pt idx="143">
                  <c:v>8.66</c:v>
                </c:pt>
                <c:pt idx="144">
                  <c:v>8.7250000000000014</c:v>
                </c:pt>
                <c:pt idx="145">
                  <c:v>8.7149999999999999</c:v>
                </c:pt>
                <c:pt idx="146">
                  <c:v>8.7899999999999991</c:v>
                </c:pt>
                <c:pt idx="147">
                  <c:v>8.7149999999999999</c:v>
                </c:pt>
                <c:pt idx="148">
                  <c:v>8.7149999999999999</c:v>
                </c:pt>
                <c:pt idx="149">
                  <c:v>8.7250000000000014</c:v>
                </c:pt>
                <c:pt idx="150">
                  <c:v>8.754999999999999</c:v>
                </c:pt>
                <c:pt idx="151">
                  <c:v>8.6849999999999987</c:v>
                </c:pt>
                <c:pt idx="152">
                  <c:v>8.6849999999999987</c:v>
                </c:pt>
                <c:pt idx="153">
                  <c:v>8.7250000000000014</c:v>
                </c:pt>
                <c:pt idx="154">
                  <c:v>8.6149999999999984</c:v>
                </c:pt>
                <c:pt idx="155">
                  <c:v>8.5150000000000006</c:v>
                </c:pt>
                <c:pt idx="156">
                  <c:v>8.5300000000000011</c:v>
                </c:pt>
                <c:pt idx="157">
                  <c:v>8.495000000000001</c:v>
                </c:pt>
                <c:pt idx="158">
                  <c:v>8.3449999999999989</c:v>
                </c:pt>
                <c:pt idx="159">
                  <c:v>8.3049999999999997</c:v>
                </c:pt>
                <c:pt idx="160">
                  <c:v>8.375</c:v>
                </c:pt>
                <c:pt idx="161">
                  <c:v>8.3249999999999993</c:v>
                </c:pt>
                <c:pt idx="162">
                  <c:v>8.27</c:v>
                </c:pt>
                <c:pt idx="163">
                  <c:v>8.2249999999999996</c:v>
                </c:pt>
                <c:pt idx="164">
                  <c:v>8.2199999999999989</c:v>
                </c:pt>
                <c:pt idx="165">
                  <c:v>8.129999999999999</c:v>
                </c:pt>
                <c:pt idx="166">
                  <c:v>8.1349999999999998</c:v>
                </c:pt>
                <c:pt idx="167">
                  <c:v>8.0250000000000004</c:v>
                </c:pt>
                <c:pt idx="168">
                  <c:v>8.0250000000000004</c:v>
                </c:pt>
                <c:pt idx="169">
                  <c:v>7.9799999999999995</c:v>
                </c:pt>
                <c:pt idx="170">
                  <c:v>7.835</c:v>
                </c:pt>
                <c:pt idx="171">
                  <c:v>7.7949999999999999</c:v>
                </c:pt>
                <c:pt idx="172">
                  <c:v>7.73</c:v>
                </c:pt>
                <c:pt idx="173">
                  <c:v>8.01</c:v>
                </c:pt>
                <c:pt idx="174">
                  <c:v>8.0599999999999987</c:v>
                </c:pt>
                <c:pt idx="175">
                  <c:v>8.1150000000000002</c:v>
                </c:pt>
                <c:pt idx="176">
                  <c:v>7.94</c:v>
                </c:pt>
                <c:pt idx="177">
                  <c:v>8.0250000000000004</c:v>
                </c:pt>
                <c:pt idx="178">
                  <c:v>7.9350000000000005</c:v>
                </c:pt>
                <c:pt idx="179">
                  <c:v>8.01</c:v>
                </c:pt>
                <c:pt idx="180">
                  <c:v>7.95</c:v>
                </c:pt>
                <c:pt idx="181">
                  <c:v>8.01</c:v>
                </c:pt>
                <c:pt idx="182">
                  <c:v>8.25</c:v>
                </c:pt>
                <c:pt idx="183">
                  <c:v>8.42</c:v>
                </c:pt>
                <c:pt idx="184">
                  <c:v>8.59</c:v>
                </c:pt>
                <c:pt idx="185">
                  <c:v>8.49</c:v>
                </c:pt>
                <c:pt idx="186">
                  <c:v>8.5399999999999991</c:v>
                </c:pt>
                <c:pt idx="187">
                  <c:v>8.620000000000001</c:v>
                </c:pt>
                <c:pt idx="188">
                  <c:v>8.5</c:v>
                </c:pt>
                <c:pt idx="189">
                  <c:v>8.5350000000000001</c:v>
                </c:pt>
                <c:pt idx="190">
                  <c:v>8.4250000000000007</c:v>
                </c:pt>
                <c:pt idx="191">
                  <c:v>8.4499999999999993</c:v>
                </c:pt>
                <c:pt idx="192">
                  <c:v>8.48</c:v>
                </c:pt>
                <c:pt idx="193">
                  <c:v>8.67</c:v>
                </c:pt>
                <c:pt idx="194">
                  <c:v>8.7949999999999999</c:v>
                </c:pt>
                <c:pt idx="195">
                  <c:v>8.9049999999999994</c:v>
                </c:pt>
                <c:pt idx="196">
                  <c:v>9.0649999999999995</c:v>
                </c:pt>
                <c:pt idx="197">
                  <c:v>9.0500000000000007</c:v>
                </c:pt>
                <c:pt idx="198">
                  <c:v>8.9499999999999993</c:v>
                </c:pt>
                <c:pt idx="199">
                  <c:v>9.09</c:v>
                </c:pt>
                <c:pt idx="200">
                  <c:v>8.9649999999999999</c:v>
                </c:pt>
                <c:pt idx="201">
                  <c:v>9.0449999999999999</c:v>
                </c:pt>
                <c:pt idx="202">
                  <c:v>9</c:v>
                </c:pt>
                <c:pt idx="203">
                  <c:v>8.9049999999999994</c:v>
                </c:pt>
                <c:pt idx="204">
                  <c:v>8.870000000000001</c:v>
                </c:pt>
                <c:pt idx="205">
                  <c:v>8.99</c:v>
                </c:pt>
                <c:pt idx="206">
                  <c:v>8.8850000000000016</c:v>
                </c:pt>
                <c:pt idx="207">
                  <c:v>8.8000000000000007</c:v>
                </c:pt>
                <c:pt idx="208">
                  <c:v>8.9050000000000011</c:v>
                </c:pt>
                <c:pt idx="209">
                  <c:v>8.7650000000000006</c:v>
                </c:pt>
                <c:pt idx="210">
                  <c:v>8.8350000000000009</c:v>
                </c:pt>
                <c:pt idx="211">
                  <c:v>8.8949999999999996</c:v>
                </c:pt>
                <c:pt idx="212">
                  <c:v>9.0399999999999991</c:v>
                </c:pt>
                <c:pt idx="213">
                  <c:v>9.09</c:v>
                </c:pt>
                <c:pt idx="214">
                  <c:v>9.2250000000000014</c:v>
                </c:pt>
                <c:pt idx="215">
                  <c:v>9.120000000000001</c:v>
                </c:pt>
                <c:pt idx="216">
                  <c:v>8.9849999999999994</c:v>
                </c:pt>
                <c:pt idx="217">
                  <c:v>8.92</c:v>
                </c:pt>
                <c:pt idx="218">
                  <c:v>8.86</c:v>
                </c:pt>
                <c:pt idx="219">
                  <c:v>9.0399999999999991</c:v>
                </c:pt>
                <c:pt idx="220">
                  <c:v>8.9049999999999994</c:v>
                </c:pt>
                <c:pt idx="221">
                  <c:v>8.8949999999999996</c:v>
                </c:pt>
                <c:pt idx="222">
                  <c:v>8.9450000000000003</c:v>
                </c:pt>
                <c:pt idx="223">
                  <c:v>8.86</c:v>
                </c:pt>
                <c:pt idx="224">
                  <c:v>8.8450000000000006</c:v>
                </c:pt>
                <c:pt idx="225">
                  <c:v>8.84</c:v>
                </c:pt>
                <c:pt idx="226">
                  <c:v>8.75</c:v>
                </c:pt>
                <c:pt idx="227">
                  <c:v>8.6</c:v>
                </c:pt>
                <c:pt idx="228">
                  <c:v>8.4149999999999991</c:v>
                </c:pt>
                <c:pt idx="229">
                  <c:v>8.4700000000000006</c:v>
                </c:pt>
                <c:pt idx="230">
                  <c:v>8.4649999999999999</c:v>
                </c:pt>
                <c:pt idx="231">
                  <c:v>8.4250000000000007</c:v>
                </c:pt>
                <c:pt idx="232">
                  <c:v>8.4499999999999993</c:v>
                </c:pt>
                <c:pt idx="233">
                  <c:v>8.61</c:v>
                </c:pt>
                <c:pt idx="234">
                  <c:v>8.68</c:v>
                </c:pt>
                <c:pt idx="235">
                  <c:v>8.5649999999999995</c:v>
                </c:pt>
                <c:pt idx="236">
                  <c:v>8.68</c:v>
                </c:pt>
                <c:pt idx="237">
                  <c:v>8.59</c:v>
                </c:pt>
                <c:pt idx="238">
                  <c:v>8.56</c:v>
                </c:pt>
                <c:pt idx="239">
                  <c:v>8.66</c:v>
                </c:pt>
                <c:pt idx="240">
                  <c:v>8.5500000000000007</c:v>
                </c:pt>
                <c:pt idx="241">
                  <c:v>8.58</c:v>
                </c:pt>
                <c:pt idx="242">
                  <c:v>8.629999999999999</c:v>
                </c:pt>
                <c:pt idx="243">
                  <c:v>8.5500000000000007</c:v>
                </c:pt>
                <c:pt idx="244">
                  <c:v>8.41</c:v>
                </c:pt>
                <c:pt idx="245">
                  <c:v>8.5150000000000006</c:v>
                </c:pt>
                <c:pt idx="246">
                  <c:v>8.4350000000000005</c:v>
                </c:pt>
                <c:pt idx="247">
                  <c:v>8.5250000000000004</c:v>
                </c:pt>
                <c:pt idx="248">
                  <c:v>8.5399999999999991</c:v>
                </c:pt>
                <c:pt idx="249">
                  <c:v>8.5449999999999999</c:v>
                </c:pt>
                <c:pt idx="250">
                  <c:v>8.52</c:v>
                </c:pt>
                <c:pt idx="251">
                  <c:v>8.5500000000000007</c:v>
                </c:pt>
                <c:pt idx="252">
                  <c:v>8.379999999999999</c:v>
                </c:pt>
                <c:pt idx="253">
                  <c:v>8.34</c:v>
                </c:pt>
                <c:pt idx="254">
                  <c:v>8.34</c:v>
                </c:pt>
                <c:pt idx="255">
                  <c:v>8.4350000000000005</c:v>
                </c:pt>
                <c:pt idx="256">
                  <c:v>8.379999999999999</c:v>
                </c:pt>
                <c:pt idx="257">
                  <c:v>8.66</c:v>
                </c:pt>
                <c:pt idx="258">
                  <c:v>8.6950000000000003</c:v>
                </c:pt>
                <c:pt idx="259">
                  <c:v>8.7050000000000001</c:v>
                </c:pt>
                <c:pt idx="260">
                  <c:v>8.6449999999999996</c:v>
                </c:pt>
                <c:pt idx="261">
                  <c:v>8.6050000000000004</c:v>
                </c:pt>
                <c:pt idx="262">
                  <c:v>8.6550000000000011</c:v>
                </c:pt>
                <c:pt idx="263">
                  <c:v>8.5399999999999991</c:v>
                </c:pt>
                <c:pt idx="264">
                  <c:v>8.65</c:v>
                </c:pt>
                <c:pt idx="265">
                  <c:v>8.67</c:v>
                </c:pt>
                <c:pt idx="266">
                  <c:v>8.625</c:v>
                </c:pt>
                <c:pt idx="267">
                  <c:v>8.66</c:v>
                </c:pt>
                <c:pt idx="268">
                  <c:v>8.6050000000000004</c:v>
                </c:pt>
                <c:pt idx="269">
                  <c:v>8.8350000000000009</c:v>
                </c:pt>
                <c:pt idx="270">
                  <c:v>9.0500000000000007</c:v>
                </c:pt>
                <c:pt idx="271">
                  <c:v>8.9550000000000001</c:v>
                </c:pt>
                <c:pt idx="272">
                  <c:v>8.9350000000000005</c:v>
                </c:pt>
                <c:pt idx="273">
                  <c:v>8.9250000000000007</c:v>
                </c:pt>
                <c:pt idx="274">
                  <c:v>8.9149999999999991</c:v>
                </c:pt>
                <c:pt idx="275">
                  <c:v>8.9700000000000006</c:v>
                </c:pt>
                <c:pt idx="276">
                  <c:v>9.0150000000000006</c:v>
                </c:pt>
                <c:pt idx="277">
                  <c:v>9.01</c:v>
                </c:pt>
                <c:pt idx="278">
                  <c:v>9.1350000000000016</c:v>
                </c:pt>
                <c:pt idx="279">
                  <c:v>9.1550000000000011</c:v>
                </c:pt>
                <c:pt idx="280">
                  <c:v>9.0949999999999989</c:v>
                </c:pt>
                <c:pt idx="281">
                  <c:v>9.1499999999999986</c:v>
                </c:pt>
                <c:pt idx="282">
                  <c:v>9.18</c:v>
                </c:pt>
                <c:pt idx="283">
                  <c:v>9.1449999999999996</c:v>
                </c:pt>
                <c:pt idx="284">
                  <c:v>9.1750000000000007</c:v>
                </c:pt>
                <c:pt idx="285">
                  <c:v>9.1750000000000007</c:v>
                </c:pt>
                <c:pt idx="286">
                  <c:v>9.1649999999999991</c:v>
                </c:pt>
                <c:pt idx="287">
                  <c:v>9.0350000000000001</c:v>
                </c:pt>
                <c:pt idx="288">
                  <c:v>9.0950000000000006</c:v>
                </c:pt>
                <c:pt idx="289">
                  <c:v>9.0649999999999995</c:v>
                </c:pt>
                <c:pt idx="290">
                  <c:v>9.0449999999999999</c:v>
                </c:pt>
                <c:pt idx="291">
                  <c:v>9.0949999999999989</c:v>
                </c:pt>
                <c:pt idx="292">
                  <c:v>9.18</c:v>
                </c:pt>
                <c:pt idx="293">
                  <c:v>9.2100000000000009</c:v>
                </c:pt>
                <c:pt idx="294">
                  <c:v>9.2149999999999999</c:v>
                </c:pt>
                <c:pt idx="295">
                  <c:v>9.18</c:v>
                </c:pt>
                <c:pt idx="296">
                  <c:v>9.26</c:v>
                </c:pt>
                <c:pt idx="297">
                  <c:v>9.2100000000000009</c:v>
                </c:pt>
                <c:pt idx="298">
                  <c:v>9.17</c:v>
                </c:pt>
                <c:pt idx="299">
                  <c:v>9.14</c:v>
                </c:pt>
                <c:pt idx="300">
                  <c:v>9.1849999999999987</c:v>
                </c:pt>
                <c:pt idx="301">
                  <c:v>9.2149999999999999</c:v>
                </c:pt>
                <c:pt idx="302">
                  <c:v>9.1550000000000011</c:v>
                </c:pt>
                <c:pt idx="303">
                  <c:v>9.17</c:v>
                </c:pt>
                <c:pt idx="304">
                  <c:v>9.11</c:v>
                </c:pt>
                <c:pt idx="305">
                  <c:v>9.0549999999999997</c:v>
                </c:pt>
                <c:pt idx="306">
                  <c:v>9.0299999999999994</c:v>
                </c:pt>
                <c:pt idx="307">
                  <c:v>8.98</c:v>
                </c:pt>
                <c:pt idx="308">
                  <c:v>8.93</c:v>
                </c:pt>
                <c:pt idx="309">
                  <c:v>8.9050000000000011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6324512"/>
        <c:axId val="-1186319616"/>
      </c:lineChart>
      <c:lineChart>
        <c:grouping val="standard"/>
        <c:varyColors val="0"/>
        <c:ser>
          <c:idx val="2"/>
          <c:order val="1"/>
          <c:tx>
            <c:strRef>
              <c:f>Cover!$C$2</c:f>
              <c:strCache>
                <c:ptCount val="1"/>
                <c:pt idx="0">
                  <c:v>Soybean meal (right axis)</c:v>
                </c:pt>
              </c:strCache>
            </c:strRef>
          </c:tx>
          <c:spPr>
            <a:ln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numRef>
              <c:f>Cover!$A$4:$A$313</c:f>
              <c:numCache>
                <c:formatCode>m/d/yyyy</c:formatCode>
                <c:ptCount val="310"/>
                <c:pt idx="0">
                  <c:v>43347</c:v>
                </c:pt>
                <c:pt idx="1">
                  <c:v>43348</c:v>
                </c:pt>
                <c:pt idx="2">
                  <c:v>43349</c:v>
                </c:pt>
                <c:pt idx="3">
                  <c:v>43350</c:v>
                </c:pt>
                <c:pt idx="4">
                  <c:v>43353</c:v>
                </c:pt>
                <c:pt idx="5">
                  <c:v>43354</c:v>
                </c:pt>
                <c:pt idx="6">
                  <c:v>43355</c:v>
                </c:pt>
                <c:pt idx="7">
                  <c:v>43356</c:v>
                </c:pt>
                <c:pt idx="8">
                  <c:v>43357</c:v>
                </c:pt>
                <c:pt idx="9">
                  <c:v>43360</c:v>
                </c:pt>
                <c:pt idx="10">
                  <c:v>43361</c:v>
                </c:pt>
                <c:pt idx="11">
                  <c:v>43362</c:v>
                </c:pt>
                <c:pt idx="12">
                  <c:v>43363</c:v>
                </c:pt>
                <c:pt idx="13">
                  <c:v>43364</c:v>
                </c:pt>
                <c:pt idx="14">
                  <c:v>43367</c:v>
                </c:pt>
                <c:pt idx="15">
                  <c:v>43368</c:v>
                </c:pt>
                <c:pt idx="16">
                  <c:v>43369</c:v>
                </c:pt>
                <c:pt idx="17">
                  <c:v>43370</c:v>
                </c:pt>
                <c:pt idx="18">
                  <c:v>43371</c:v>
                </c:pt>
                <c:pt idx="19">
                  <c:v>43374</c:v>
                </c:pt>
                <c:pt idx="20">
                  <c:v>43375</c:v>
                </c:pt>
                <c:pt idx="21">
                  <c:v>43376</c:v>
                </c:pt>
                <c:pt idx="22">
                  <c:v>43377</c:v>
                </c:pt>
                <c:pt idx="23">
                  <c:v>43378</c:v>
                </c:pt>
                <c:pt idx="24">
                  <c:v>43381</c:v>
                </c:pt>
                <c:pt idx="25">
                  <c:v>43382</c:v>
                </c:pt>
                <c:pt idx="26">
                  <c:v>43383</c:v>
                </c:pt>
                <c:pt idx="27">
                  <c:v>43384</c:v>
                </c:pt>
                <c:pt idx="28">
                  <c:v>43385</c:v>
                </c:pt>
                <c:pt idx="29">
                  <c:v>43388</c:v>
                </c:pt>
                <c:pt idx="30">
                  <c:v>43389</c:v>
                </c:pt>
                <c:pt idx="31">
                  <c:v>43390</c:v>
                </c:pt>
                <c:pt idx="32">
                  <c:v>43391</c:v>
                </c:pt>
                <c:pt idx="33">
                  <c:v>43392</c:v>
                </c:pt>
                <c:pt idx="34">
                  <c:v>43395</c:v>
                </c:pt>
                <c:pt idx="35">
                  <c:v>43396</c:v>
                </c:pt>
                <c:pt idx="36">
                  <c:v>43397</c:v>
                </c:pt>
                <c:pt idx="37">
                  <c:v>43398</c:v>
                </c:pt>
                <c:pt idx="38">
                  <c:v>43399</c:v>
                </c:pt>
                <c:pt idx="39">
                  <c:v>43402</c:v>
                </c:pt>
                <c:pt idx="40">
                  <c:v>43403</c:v>
                </c:pt>
                <c:pt idx="41">
                  <c:v>43404</c:v>
                </c:pt>
                <c:pt idx="42">
                  <c:v>43405</c:v>
                </c:pt>
                <c:pt idx="43">
                  <c:v>43406</c:v>
                </c:pt>
                <c:pt idx="44">
                  <c:v>43409</c:v>
                </c:pt>
                <c:pt idx="45">
                  <c:v>43410</c:v>
                </c:pt>
                <c:pt idx="46">
                  <c:v>43411</c:v>
                </c:pt>
                <c:pt idx="47">
                  <c:v>43412</c:v>
                </c:pt>
                <c:pt idx="48">
                  <c:v>43413</c:v>
                </c:pt>
                <c:pt idx="49">
                  <c:v>43416</c:v>
                </c:pt>
                <c:pt idx="50">
                  <c:v>43417</c:v>
                </c:pt>
                <c:pt idx="51">
                  <c:v>43418</c:v>
                </c:pt>
                <c:pt idx="52">
                  <c:v>43419</c:v>
                </c:pt>
                <c:pt idx="53">
                  <c:v>43420</c:v>
                </c:pt>
                <c:pt idx="54">
                  <c:v>43423</c:v>
                </c:pt>
                <c:pt idx="55">
                  <c:v>43424</c:v>
                </c:pt>
                <c:pt idx="56">
                  <c:v>43425</c:v>
                </c:pt>
                <c:pt idx="57">
                  <c:v>43430</c:v>
                </c:pt>
                <c:pt idx="58">
                  <c:v>43431</c:v>
                </c:pt>
                <c:pt idx="59">
                  <c:v>43432</c:v>
                </c:pt>
                <c:pt idx="60">
                  <c:v>43433</c:v>
                </c:pt>
                <c:pt idx="61">
                  <c:v>43434</c:v>
                </c:pt>
                <c:pt idx="62">
                  <c:v>43437</c:v>
                </c:pt>
                <c:pt idx="63">
                  <c:v>43438</c:v>
                </c:pt>
                <c:pt idx="64">
                  <c:v>43439</c:v>
                </c:pt>
                <c:pt idx="65">
                  <c:v>43440</c:v>
                </c:pt>
                <c:pt idx="66">
                  <c:v>43441</c:v>
                </c:pt>
                <c:pt idx="67">
                  <c:v>43444</c:v>
                </c:pt>
                <c:pt idx="68">
                  <c:v>43445</c:v>
                </c:pt>
                <c:pt idx="69">
                  <c:v>43446</c:v>
                </c:pt>
                <c:pt idx="70">
                  <c:v>43447</c:v>
                </c:pt>
                <c:pt idx="71">
                  <c:v>43448</c:v>
                </c:pt>
                <c:pt idx="72">
                  <c:v>43451</c:v>
                </c:pt>
                <c:pt idx="73">
                  <c:v>43452</c:v>
                </c:pt>
                <c:pt idx="74">
                  <c:v>43453</c:v>
                </c:pt>
                <c:pt idx="75">
                  <c:v>43454</c:v>
                </c:pt>
                <c:pt idx="76">
                  <c:v>43455</c:v>
                </c:pt>
                <c:pt idx="77">
                  <c:v>43458</c:v>
                </c:pt>
                <c:pt idx="78">
                  <c:v>43460</c:v>
                </c:pt>
                <c:pt idx="79">
                  <c:v>43461</c:v>
                </c:pt>
                <c:pt idx="80">
                  <c:v>43462</c:v>
                </c:pt>
                <c:pt idx="81">
                  <c:v>43465</c:v>
                </c:pt>
                <c:pt idx="82">
                  <c:v>43467</c:v>
                </c:pt>
                <c:pt idx="83">
                  <c:v>43468</c:v>
                </c:pt>
                <c:pt idx="84">
                  <c:v>43469</c:v>
                </c:pt>
                <c:pt idx="85">
                  <c:v>43472</c:v>
                </c:pt>
                <c:pt idx="86">
                  <c:v>43473</c:v>
                </c:pt>
                <c:pt idx="87">
                  <c:v>43474</c:v>
                </c:pt>
                <c:pt idx="88">
                  <c:v>43475</c:v>
                </c:pt>
                <c:pt idx="89">
                  <c:v>43476</c:v>
                </c:pt>
                <c:pt idx="90">
                  <c:v>43479</c:v>
                </c:pt>
                <c:pt idx="91">
                  <c:v>43480</c:v>
                </c:pt>
                <c:pt idx="92">
                  <c:v>43481</c:v>
                </c:pt>
                <c:pt idx="93">
                  <c:v>43482</c:v>
                </c:pt>
                <c:pt idx="94">
                  <c:v>43483</c:v>
                </c:pt>
                <c:pt idx="95">
                  <c:v>43487</c:v>
                </c:pt>
                <c:pt idx="96">
                  <c:v>43488</c:v>
                </c:pt>
                <c:pt idx="97">
                  <c:v>43489</c:v>
                </c:pt>
                <c:pt idx="98">
                  <c:v>43490</c:v>
                </c:pt>
                <c:pt idx="99">
                  <c:v>43493</c:v>
                </c:pt>
                <c:pt idx="100">
                  <c:v>43494</c:v>
                </c:pt>
                <c:pt idx="101">
                  <c:v>43495</c:v>
                </c:pt>
                <c:pt idx="102">
                  <c:v>43496</c:v>
                </c:pt>
                <c:pt idx="103">
                  <c:v>43497</c:v>
                </c:pt>
                <c:pt idx="104">
                  <c:v>43500</c:v>
                </c:pt>
                <c:pt idx="105">
                  <c:v>43501</c:v>
                </c:pt>
                <c:pt idx="106">
                  <c:v>43502</c:v>
                </c:pt>
                <c:pt idx="107">
                  <c:v>43503</c:v>
                </c:pt>
                <c:pt idx="108">
                  <c:v>43504</c:v>
                </c:pt>
                <c:pt idx="109">
                  <c:v>43507</c:v>
                </c:pt>
                <c:pt idx="110">
                  <c:v>43508</c:v>
                </c:pt>
                <c:pt idx="111">
                  <c:v>43509</c:v>
                </c:pt>
                <c:pt idx="112">
                  <c:v>43510</c:v>
                </c:pt>
                <c:pt idx="113">
                  <c:v>43511</c:v>
                </c:pt>
                <c:pt idx="114">
                  <c:v>43515</c:v>
                </c:pt>
                <c:pt idx="115">
                  <c:v>43516</c:v>
                </c:pt>
                <c:pt idx="116">
                  <c:v>43517</c:v>
                </c:pt>
                <c:pt idx="117">
                  <c:v>43518</c:v>
                </c:pt>
                <c:pt idx="118">
                  <c:v>43521</c:v>
                </c:pt>
                <c:pt idx="119">
                  <c:v>43522</c:v>
                </c:pt>
                <c:pt idx="120">
                  <c:v>43523</c:v>
                </c:pt>
                <c:pt idx="121">
                  <c:v>43524</c:v>
                </c:pt>
                <c:pt idx="122">
                  <c:v>43525</c:v>
                </c:pt>
                <c:pt idx="123">
                  <c:v>43528</c:v>
                </c:pt>
                <c:pt idx="124">
                  <c:v>43529</c:v>
                </c:pt>
                <c:pt idx="125">
                  <c:v>43530</c:v>
                </c:pt>
                <c:pt idx="126">
                  <c:v>43531</c:v>
                </c:pt>
                <c:pt idx="127">
                  <c:v>43532</c:v>
                </c:pt>
                <c:pt idx="128">
                  <c:v>43535</c:v>
                </c:pt>
                <c:pt idx="129">
                  <c:v>43536</c:v>
                </c:pt>
                <c:pt idx="130">
                  <c:v>43537</c:v>
                </c:pt>
                <c:pt idx="131">
                  <c:v>43538</c:v>
                </c:pt>
                <c:pt idx="132">
                  <c:v>43539</c:v>
                </c:pt>
                <c:pt idx="133">
                  <c:v>43542</c:v>
                </c:pt>
                <c:pt idx="134">
                  <c:v>43543</c:v>
                </c:pt>
                <c:pt idx="135">
                  <c:v>43544</c:v>
                </c:pt>
                <c:pt idx="136">
                  <c:v>43545</c:v>
                </c:pt>
                <c:pt idx="137">
                  <c:v>43546</c:v>
                </c:pt>
                <c:pt idx="138">
                  <c:v>43549</c:v>
                </c:pt>
                <c:pt idx="139">
                  <c:v>43550</c:v>
                </c:pt>
                <c:pt idx="140">
                  <c:v>43551</c:v>
                </c:pt>
                <c:pt idx="141">
                  <c:v>43552</c:v>
                </c:pt>
                <c:pt idx="142">
                  <c:v>43553</c:v>
                </c:pt>
                <c:pt idx="143">
                  <c:v>43556</c:v>
                </c:pt>
                <c:pt idx="144">
                  <c:v>43557</c:v>
                </c:pt>
                <c:pt idx="145">
                  <c:v>43558</c:v>
                </c:pt>
                <c:pt idx="146">
                  <c:v>43559</c:v>
                </c:pt>
                <c:pt idx="147">
                  <c:v>43560</c:v>
                </c:pt>
                <c:pt idx="148">
                  <c:v>43563</c:v>
                </c:pt>
                <c:pt idx="149">
                  <c:v>43564</c:v>
                </c:pt>
                <c:pt idx="150">
                  <c:v>43565</c:v>
                </c:pt>
                <c:pt idx="151">
                  <c:v>43566</c:v>
                </c:pt>
                <c:pt idx="152">
                  <c:v>43567</c:v>
                </c:pt>
                <c:pt idx="153">
                  <c:v>43570</c:v>
                </c:pt>
                <c:pt idx="154">
                  <c:v>43571</c:v>
                </c:pt>
                <c:pt idx="155">
                  <c:v>43572</c:v>
                </c:pt>
                <c:pt idx="156">
                  <c:v>43573</c:v>
                </c:pt>
                <c:pt idx="157">
                  <c:v>43577</c:v>
                </c:pt>
                <c:pt idx="158">
                  <c:v>43578</c:v>
                </c:pt>
                <c:pt idx="159">
                  <c:v>43579</c:v>
                </c:pt>
                <c:pt idx="160">
                  <c:v>43580</c:v>
                </c:pt>
                <c:pt idx="161">
                  <c:v>43581</c:v>
                </c:pt>
                <c:pt idx="162">
                  <c:v>43584</c:v>
                </c:pt>
                <c:pt idx="163">
                  <c:v>43585</c:v>
                </c:pt>
                <c:pt idx="164">
                  <c:v>43586</c:v>
                </c:pt>
                <c:pt idx="165">
                  <c:v>43587</c:v>
                </c:pt>
                <c:pt idx="166">
                  <c:v>43588</c:v>
                </c:pt>
                <c:pt idx="167">
                  <c:v>43591</c:v>
                </c:pt>
                <c:pt idx="168">
                  <c:v>43592</c:v>
                </c:pt>
                <c:pt idx="169">
                  <c:v>43593</c:v>
                </c:pt>
                <c:pt idx="170">
                  <c:v>43594</c:v>
                </c:pt>
                <c:pt idx="171">
                  <c:v>43595</c:v>
                </c:pt>
                <c:pt idx="172">
                  <c:v>43598</c:v>
                </c:pt>
                <c:pt idx="173">
                  <c:v>43599</c:v>
                </c:pt>
                <c:pt idx="174">
                  <c:v>43600</c:v>
                </c:pt>
                <c:pt idx="175">
                  <c:v>43601</c:v>
                </c:pt>
                <c:pt idx="176">
                  <c:v>43602</c:v>
                </c:pt>
                <c:pt idx="177">
                  <c:v>43605</c:v>
                </c:pt>
                <c:pt idx="178">
                  <c:v>43606</c:v>
                </c:pt>
                <c:pt idx="179">
                  <c:v>43607</c:v>
                </c:pt>
                <c:pt idx="180">
                  <c:v>43608</c:v>
                </c:pt>
                <c:pt idx="181">
                  <c:v>43609</c:v>
                </c:pt>
                <c:pt idx="182">
                  <c:v>43613</c:v>
                </c:pt>
                <c:pt idx="183">
                  <c:v>43614</c:v>
                </c:pt>
                <c:pt idx="184">
                  <c:v>43615</c:v>
                </c:pt>
                <c:pt idx="185">
                  <c:v>43616</c:v>
                </c:pt>
                <c:pt idx="186">
                  <c:v>43619</c:v>
                </c:pt>
                <c:pt idx="187">
                  <c:v>43620</c:v>
                </c:pt>
                <c:pt idx="188">
                  <c:v>43621</c:v>
                </c:pt>
                <c:pt idx="189">
                  <c:v>43622</c:v>
                </c:pt>
                <c:pt idx="190">
                  <c:v>43623</c:v>
                </c:pt>
                <c:pt idx="191">
                  <c:v>43626</c:v>
                </c:pt>
                <c:pt idx="192">
                  <c:v>43627</c:v>
                </c:pt>
                <c:pt idx="193">
                  <c:v>43628</c:v>
                </c:pt>
                <c:pt idx="194">
                  <c:v>43629</c:v>
                </c:pt>
                <c:pt idx="195">
                  <c:v>43630</c:v>
                </c:pt>
                <c:pt idx="196">
                  <c:v>43633</c:v>
                </c:pt>
                <c:pt idx="197">
                  <c:v>43634</c:v>
                </c:pt>
                <c:pt idx="198">
                  <c:v>43635</c:v>
                </c:pt>
                <c:pt idx="199">
                  <c:v>43636</c:v>
                </c:pt>
                <c:pt idx="200">
                  <c:v>43637</c:v>
                </c:pt>
                <c:pt idx="201">
                  <c:v>43640</c:v>
                </c:pt>
                <c:pt idx="202">
                  <c:v>43641</c:v>
                </c:pt>
                <c:pt idx="203">
                  <c:v>43642</c:v>
                </c:pt>
                <c:pt idx="204">
                  <c:v>43643</c:v>
                </c:pt>
                <c:pt idx="205">
                  <c:v>43644</c:v>
                </c:pt>
                <c:pt idx="206">
                  <c:v>43647</c:v>
                </c:pt>
                <c:pt idx="207">
                  <c:v>43648</c:v>
                </c:pt>
                <c:pt idx="208">
                  <c:v>43649</c:v>
                </c:pt>
                <c:pt idx="209">
                  <c:v>43651</c:v>
                </c:pt>
                <c:pt idx="210">
                  <c:v>43654</c:v>
                </c:pt>
                <c:pt idx="211">
                  <c:v>43655</c:v>
                </c:pt>
                <c:pt idx="212">
                  <c:v>43656</c:v>
                </c:pt>
                <c:pt idx="213">
                  <c:v>43657</c:v>
                </c:pt>
                <c:pt idx="214">
                  <c:v>43658</c:v>
                </c:pt>
                <c:pt idx="215">
                  <c:v>43661</c:v>
                </c:pt>
                <c:pt idx="216">
                  <c:v>43662</c:v>
                </c:pt>
                <c:pt idx="217">
                  <c:v>43663</c:v>
                </c:pt>
                <c:pt idx="218">
                  <c:v>43664</c:v>
                </c:pt>
                <c:pt idx="219">
                  <c:v>43665</c:v>
                </c:pt>
                <c:pt idx="220">
                  <c:v>43668</c:v>
                </c:pt>
                <c:pt idx="221">
                  <c:v>43669</c:v>
                </c:pt>
                <c:pt idx="222">
                  <c:v>43670</c:v>
                </c:pt>
                <c:pt idx="223">
                  <c:v>43671</c:v>
                </c:pt>
                <c:pt idx="224">
                  <c:v>43672</c:v>
                </c:pt>
                <c:pt idx="225">
                  <c:v>43675</c:v>
                </c:pt>
                <c:pt idx="226">
                  <c:v>43676</c:v>
                </c:pt>
                <c:pt idx="227">
                  <c:v>43677</c:v>
                </c:pt>
                <c:pt idx="228">
                  <c:v>43678</c:v>
                </c:pt>
                <c:pt idx="229">
                  <c:v>43679</c:v>
                </c:pt>
                <c:pt idx="230">
                  <c:v>43682</c:v>
                </c:pt>
                <c:pt idx="231">
                  <c:v>43683</c:v>
                </c:pt>
                <c:pt idx="232">
                  <c:v>43684</c:v>
                </c:pt>
                <c:pt idx="233">
                  <c:v>43685</c:v>
                </c:pt>
                <c:pt idx="234">
                  <c:v>43686</c:v>
                </c:pt>
                <c:pt idx="235">
                  <c:v>43689</c:v>
                </c:pt>
                <c:pt idx="236">
                  <c:v>43690</c:v>
                </c:pt>
                <c:pt idx="237">
                  <c:v>43691</c:v>
                </c:pt>
                <c:pt idx="238">
                  <c:v>43692</c:v>
                </c:pt>
                <c:pt idx="239">
                  <c:v>43693</c:v>
                </c:pt>
                <c:pt idx="240">
                  <c:v>43696</c:v>
                </c:pt>
                <c:pt idx="241">
                  <c:v>43697</c:v>
                </c:pt>
                <c:pt idx="242">
                  <c:v>43698</c:v>
                </c:pt>
                <c:pt idx="243">
                  <c:v>43699</c:v>
                </c:pt>
                <c:pt idx="244">
                  <c:v>43700</c:v>
                </c:pt>
                <c:pt idx="245">
                  <c:v>43703</c:v>
                </c:pt>
                <c:pt idx="246">
                  <c:v>43704</c:v>
                </c:pt>
                <c:pt idx="247">
                  <c:v>43705</c:v>
                </c:pt>
                <c:pt idx="248">
                  <c:v>43706</c:v>
                </c:pt>
                <c:pt idx="249">
                  <c:v>43707</c:v>
                </c:pt>
                <c:pt idx="250">
                  <c:v>43711</c:v>
                </c:pt>
                <c:pt idx="251">
                  <c:v>43712</c:v>
                </c:pt>
                <c:pt idx="252">
                  <c:v>43713</c:v>
                </c:pt>
                <c:pt idx="253">
                  <c:v>43714</c:v>
                </c:pt>
                <c:pt idx="254">
                  <c:v>43717</c:v>
                </c:pt>
                <c:pt idx="255">
                  <c:v>43718</c:v>
                </c:pt>
                <c:pt idx="256">
                  <c:v>43719</c:v>
                </c:pt>
                <c:pt idx="257">
                  <c:v>43720</c:v>
                </c:pt>
                <c:pt idx="258">
                  <c:v>43721</c:v>
                </c:pt>
                <c:pt idx="259">
                  <c:v>43724</c:v>
                </c:pt>
                <c:pt idx="260">
                  <c:v>43725</c:v>
                </c:pt>
                <c:pt idx="261">
                  <c:v>43726</c:v>
                </c:pt>
                <c:pt idx="262">
                  <c:v>43727</c:v>
                </c:pt>
                <c:pt idx="263">
                  <c:v>43728</c:v>
                </c:pt>
                <c:pt idx="264">
                  <c:v>43731</c:v>
                </c:pt>
                <c:pt idx="265">
                  <c:v>43732</c:v>
                </c:pt>
                <c:pt idx="266">
                  <c:v>43733</c:v>
                </c:pt>
                <c:pt idx="267">
                  <c:v>43734</c:v>
                </c:pt>
                <c:pt idx="268">
                  <c:v>43735</c:v>
                </c:pt>
                <c:pt idx="269">
                  <c:v>43738</c:v>
                </c:pt>
                <c:pt idx="270">
                  <c:v>43739</c:v>
                </c:pt>
                <c:pt idx="271">
                  <c:v>43740</c:v>
                </c:pt>
                <c:pt idx="272">
                  <c:v>43741</c:v>
                </c:pt>
                <c:pt idx="273">
                  <c:v>43742</c:v>
                </c:pt>
                <c:pt idx="274">
                  <c:v>43745</c:v>
                </c:pt>
                <c:pt idx="275">
                  <c:v>43746</c:v>
                </c:pt>
                <c:pt idx="276">
                  <c:v>43747</c:v>
                </c:pt>
                <c:pt idx="277">
                  <c:v>43748</c:v>
                </c:pt>
                <c:pt idx="278">
                  <c:v>43749</c:v>
                </c:pt>
                <c:pt idx="279">
                  <c:v>43753</c:v>
                </c:pt>
                <c:pt idx="280">
                  <c:v>43754</c:v>
                </c:pt>
                <c:pt idx="281">
                  <c:v>43755</c:v>
                </c:pt>
                <c:pt idx="282">
                  <c:v>43756</c:v>
                </c:pt>
                <c:pt idx="283">
                  <c:v>43759</c:v>
                </c:pt>
                <c:pt idx="284">
                  <c:v>43760</c:v>
                </c:pt>
                <c:pt idx="285">
                  <c:v>43761</c:v>
                </c:pt>
                <c:pt idx="286">
                  <c:v>43762</c:v>
                </c:pt>
                <c:pt idx="287">
                  <c:v>43763</c:v>
                </c:pt>
                <c:pt idx="288">
                  <c:v>43766</c:v>
                </c:pt>
                <c:pt idx="289">
                  <c:v>43767</c:v>
                </c:pt>
                <c:pt idx="290">
                  <c:v>43768</c:v>
                </c:pt>
                <c:pt idx="291">
                  <c:v>43769</c:v>
                </c:pt>
                <c:pt idx="292">
                  <c:v>43770</c:v>
                </c:pt>
                <c:pt idx="293">
                  <c:v>43773</c:v>
                </c:pt>
                <c:pt idx="294">
                  <c:v>43774</c:v>
                </c:pt>
                <c:pt idx="295">
                  <c:v>43775</c:v>
                </c:pt>
                <c:pt idx="296">
                  <c:v>43776</c:v>
                </c:pt>
                <c:pt idx="297">
                  <c:v>43777</c:v>
                </c:pt>
                <c:pt idx="298">
                  <c:v>43781</c:v>
                </c:pt>
                <c:pt idx="299">
                  <c:v>43782</c:v>
                </c:pt>
                <c:pt idx="300">
                  <c:v>43783</c:v>
                </c:pt>
                <c:pt idx="301">
                  <c:v>43784</c:v>
                </c:pt>
                <c:pt idx="302">
                  <c:v>43787</c:v>
                </c:pt>
                <c:pt idx="303">
                  <c:v>43788</c:v>
                </c:pt>
                <c:pt idx="304">
                  <c:v>43789</c:v>
                </c:pt>
                <c:pt idx="305">
                  <c:v>43790</c:v>
                </c:pt>
                <c:pt idx="306">
                  <c:v>43791</c:v>
                </c:pt>
                <c:pt idx="307">
                  <c:v>43794</c:v>
                </c:pt>
                <c:pt idx="308">
                  <c:v>43795</c:v>
                </c:pt>
                <c:pt idx="309">
                  <c:v>43796</c:v>
                </c:pt>
              </c:numCache>
            </c:numRef>
          </c:cat>
          <c:val>
            <c:numRef>
              <c:f>Cover!$C$4:$C$313</c:f>
              <c:numCache>
                <c:formatCode>0.00</c:formatCode>
                <c:ptCount val="310"/>
                <c:pt idx="0">
                  <c:v>318.2</c:v>
                </c:pt>
                <c:pt idx="1">
                  <c:v>316.8</c:v>
                </c:pt>
                <c:pt idx="2">
                  <c:v>321.39999999999998</c:v>
                </c:pt>
                <c:pt idx="3">
                  <c:v>324.2</c:v>
                </c:pt>
                <c:pt idx="4">
                  <c:v>325.8</c:v>
                </c:pt>
                <c:pt idx="5">
                  <c:v>323.7</c:v>
                </c:pt>
                <c:pt idx="6">
                  <c:v>324.8</c:v>
                </c:pt>
                <c:pt idx="7">
                  <c:v>321.39999999999998</c:v>
                </c:pt>
                <c:pt idx="8">
                  <c:v>314.8</c:v>
                </c:pt>
                <c:pt idx="9">
                  <c:v>311.89999999999998</c:v>
                </c:pt>
                <c:pt idx="10">
                  <c:v>310</c:v>
                </c:pt>
                <c:pt idx="11">
                  <c:v>315.89999999999998</c:v>
                </c:pt>
                <c:pt idx="12">
                  <c:v>321.89999999999998</c:v>
                </c:pt>
                <c:pt idx="13">
                  <c:v>316.39999999999998</c:v>
                </c:pt>
                <c:pt idx="14">
                  <c:v>314</c:v>
                </c:pt>
                <c:pt idx="15">
                  <c:v>315.7</c:v>
                </c:pt>
                <c:pt idx="16">
                  <c:v>317.39999999999998</c:v>
                </c:pt>
                <c:pt idx="17">
                  <c:v>318.3</c:v>
                </c:pt>
                <c:pt idx="18">
                  <c:v>315.5</c:v>
                </c:pt>
                <c:pt idx="19">
                  <c:v>320.3</c:v>
                </c:pt>
                <c:pt idx="20">
                  <c:v>321.10000000000002</c:v>
                </c:pt>
                <c:pt idx="21">
                  <c:v>317.2</c:v>
                </c:pt>
                <c:pt idx="22">
                  <c:v>318.2</c:v>
                </c:pt>
                <c:pt idx="23">
                  <c:v>325.60000000000002</c:v>
                </c:pt>
                <c:pt idx="24">
                  <c:v>324.5</c:v>
                </c:pt>
                <c:pt idx="25">
                  <c:v>323.8</c:v>
                </c:pt>
                <c:pt idx="26">
                  <c:v>321.7</c:v>
                </c:pt>
                <c:pt idx="27">
                  <c:v>322.8</c:v>
                </c:pt>
                <c:pt idx="28">
                  <c:v>322.89999999999998</c:v>
                </c:pt>
                <c:pt idx="29">
                  <c:v>332.5</c:v>
                </c:pt>
                <c:pt idx="30">
                  <c:v>327.8</c:v>
                </c:pt>
                <c:pt idx="31">
                  <c:v>329.2</c:v>
                </c:pt>
                <c:pt idx="32">
                  <c:v>321.8</c:v>
                </c:pt>
                <c:pt idx="33">
                  <c:v>318.60000000000002</c:v>
                </c:pt>
                <c:pt idx="34">
                  <c:v>318.3</c:v>
                </c:pt>
                <c:pt idx="35">
                  <c:v>316.2</c:v>
                </c:pt>
                <c:pt idx="36">
                  <c:v>311.60000000000002</c:v>
                </c:pt>
                <c:pt idx="37">
                  <c:v>307.3</c:v>
                </c:pt>
                <c:pt idx="38">
                  <c:v>310.3</c:v>
                </c:pt>
                <c:pt idx="39">
                  <c:v>311.2</c:v>
                </c:pt>
                <c:pt idx="40">
                  <c:v>308.10000000000002</c:v>
                </c:pt>
                <c:pt idx="41">
                  <c:v>309.39999999999998</c:v>
                </c:pt>
                <c:pt idx="42">
                  <c:v>316.39999999999998</c:v>
                </c:pt>
                <c:pt idx="43">
                  <c:v>314</c:v>
                </c:pt>
                <c:pt idx="44">
                  <c:v>313.60000000000002</c:v>
                </c:pt>
                <c:pt idx="45">
                  <c:v>314.39999999999998</c:v>
                </c:pt>
                <c:pt idx="46">
                  <c:v>311</c:v>
                </c:pt>
                <c:pt idx="47">
                  <c:v>309.10000000000002</c:v>
                </c:pt>
                <c:pt idx="48">
                  <c:v>308.60000000000002</c:v>
                </c:pt>
                <c:pt idx="49">
                  <c:v>308.60000000000002</c:v>
                </c:pt>
                <c:pt idx="50">
                  <c:v>306.89999999999998</c:v>
                </c:pt>
                <c:pt idx="51">
                  <c:v>308.7</c:v>
                </c:pt>
                <c:pt idx="52">
                  <c:v>308.39999999999998</c:v>
                </c:pt>
                <c:pt idx="53">
                  <c:v>313.89999999999998</c:v>
                </c:pt>
                <c:pt idx="54">
                  <c:v>308</c:v>
                </c:pt>
                <c:pt idx="55">
                  <c:v>309.60000000000002</c:v>
                </c:pt>
                <c:pt idx="56">
                  <c:v>309.10000000000002</c:v>
                </c:pt>
                <c:pt idx="57">
                  <c:v>306.5</c:v>
                </c:pt>
                <c:pt idx="58">
                  <c:v>309.39999999999998</c:v>
                </c:pt>
                <c:pt idx="59">
                  <c:v>312.39999999999998</c:v>
                </c:pt>
                <c:pt idx="60">
                  <c:v>311.39999999999998</c:v>
                </c:pt>
                <c:pt idx="61">
                  <c:v>312.3</c:v>
                </c:pt>
                <c:pt idx="62">
                  <c:v>316.39999999999998</c:v>
                </c:pt>
                <c:pt idx="63">
                  <c:v>316.7</c:v>
                </c:pt>
                <c:pt idx="64">
                  <c:v>315.89999999999998</c:v>
                </c:pt>
                <c:pt idx="65">
                  <c:v>314.2</c:v>
                </c:pt>
                <c:pt idx="66">
                  <c:v>313.2</c:v>
                </c:pt>
                <c:pt idx="67">
                  <c:v>312</c:v>
                </c:pt>
                <c:pt idx="68">
                  <c:v>312.89999999999998</c:v>
                </c:pt>
                <c:pt idx="69">
                  <c:v>314.60000000000002</c:v>
                </c:pt>
                <c:pt idx="70">
                  <c:v>310.5</c:v>
                </c:pt>
                <c:pt idx="71">
                  <c:v>309.3</c:v>
                </c:pt>
                <c:pt idx="72">
                  <c:v>311.10000000000002</c:v>
                </c:pt>
                <c:pt idx="73">
                  <c:v>312.39999999999998</c:v>
                </c:pt>
                <c:pt idx="74">
                  <c:v>309.8</c:v>
                </c:pt>
                <c:pt idx="75">
                  <c:v>309.7</c:v>
                </c:pt>
                <c:pt idx="76">
                  <c:v>307.60000000000002</c:v>
                </c:pt>
                <c:pt idx="77">
                  <c:v>309.5</c:v>
                </c:pt>
                <c:pt idx="78">
                  <c:v>305.39999999999998</c:v>
                </c:pt>
                <c:pt idx="79">
                  <c:v>308.8</c:v>
                </c:pt>
                <c:pt idx="80">
                  <c:v>313.5</c:v>
                </c:pt>
                <c:pt idx="81">
                  <c:v>310.39999999999998</c:v>
                </c:pt>
                <c:pt idx="82">
                  <c:v>315.39999999999998</c:v>
                </c:pt>
                <c:pt idx="83">
                  <c:v>317.7</c:v>
                </c:pt>
                <c:pt idx="84">
                  <c:v>320</c:v>
                </c:pt>
                <c:pt idx="85">
                  <c:v>323.2</c:v>
                </c:pt>
                <c:pt idx="86">
                  <c:v>322.60000000000002</c:v>
                </c:pt>
                <c:pt idx="87">
                  <c:v>324.39999999999998</c:v>
                </c:pt>
                <c:pt idx="88">
                  <c:v>317.8</c:v>
                </c:pt>
                <c:pt idx="89">
                  <c:v>315.60000000000002</c:v>
                </c:pt>
                <c:pt idx="90">
                  <c:v>312.8</c:v>
                </c:pt>
                <c:pt idx="91">
                  <c:v>310.3</c:v>
                </c:pt>
                <c:pt idx="92">
                  <c:v>311.60000000000002</c:v>
                </c:pt>
                <c:pt idx="93">
                  <c:v>313.7</c:v>
                </c:pt>
                <c:pt idx="94">
                  <c:v>316.60000000000002</c:v>
                </c:pt>
                <c:pt idx="95">
                  <c:v>314.5</c:v>
                </c:pt>
                <c:pt idx="96">
                  <c:v>311.89999999999998</c:v>
                </c:pt>
                <c:pt idx="97">
                  <c:v>311.3</c:v>
                </c:pt>
                <c:pt idx="98">
                  <c:v>312.89999999999998</c:v>
                </c:pt>
                <c:pt idx="99">
                  <c:v>311.2</c:v>
                </c:pt>
                <c:pt idx="100">
                  <c:v>310.8</c:v>
                </c:pt>
                <c:pt idx="101">
                  <c:v>310.10000000000002</c:v>
                </c:pt>
                <c:pt idx="102">
                  <c:v>309</c:v>
                </c:pt>
                <c:pt idx="103">
                  <c:v>311.3</c:v>
                </c:pt>
                <c:pt idx="104">
                  <c:v>310.10000000000002</c:v>
                </c:pt>
                <c:pt idx="105">
                  <c:v>309</c:v>
                </c:pt>
                <c:pt idx="106">
                  <c:v>307.5</c:v>
                </c:pt>
                <c:pt idx="107">
                  <c:v>304</c:v>
                </c:pt>
                <c:pt idx="108">
                  <c:v>304.60000000000002</c:v>
                </c:pt>
                <c:pt idx="109">
                  <c:v>305.39999999999998</c:v>
                </c:pt>
                <c:pt idx="110">
                  <c:v>309.7</c:v>
                </c:pt>
                <c:pt idx="111">
                  <c:v>310.60000000000002</c:v>
                </c:pt>
                <c:pt idx="112">
                  <c:v>306</c:v>
                </c:pt>
                <c:pt idx="113">
                  <c:v>307</c:v>
                </c:pt>
                <c:pt idx="114">
                  <c:v>305.89999999999998</c:v>
                </c:pt>
                <c:pt idx="115">
                  <c:v>305.7</c:v>
                </c:pt>
                <c:pt idx="116">
                  <c:v>306.39999999999998</c:v>
                </c:pt>
                <c:pt idx="117">
                  <c:v>306.60000000000002</c:v>
                </c:pt>
                <c:pt idx="118">
                  <c:v>306.39999999999998</c:v>
                </c:pt>
                <c:pt idx="119">
                  <c:v>304.2</c:v>
                </c:pt>
                <c:pt idx="120">
                  <c:v>306</c:v>
                </c:pt>
                <c:pt idx="121">
                  <c:v>303.3</c:v>
                </c:pt>
                <c:pt idx="122">
                  <c:v>304.5</c:v>
                </c:pt>
                <c:pt idx="123">
                  <c:v>307.60000000000002</c:v>
                </c:pt>
                <c:pt idx="124">
                  <c:v>307</c:v>
                </c:pt>
                <c:pt idx="125">
                  <c:v>303.10000000000002</c:v>
                </c:pt>
                <c:pt idx="126">
                  <c:v>303.3</c:v>
                </c:pt>
                <c:pt idx="127">
                  <c:v>301.2</c:v>
                </c:pt>
                <c:pt idx="128">
                  <c:v>298.8</c:v>
                </c:pt>
                <c:pt idx="129">
                  <c:v>300.5</c:v>
                </c:pt>
                <c:pt idx="130">
                  <c:v>301.7</c:v>
                </c:pt>
                <c:pt idx="131">
                  <c:v>308.89999999999998</c:v>
                </c:pt>
                <c:pt idx="132">
                  <c:v>308.8</c:v>
                </c:pt>
                <c:pt idx="133">
                  <c:v>307.8</c:v>
                </c:pt>
                <c:pt idx="134">
                  <c:v>308.8</c:v>
                </c:pt>
                <c:pt idx="135">
                  <c:v>309.60000000000002</c:v>
                </c:pt>
                <c:pt idx="136">
                  <c:v>313.3</c:v>
                </c:pt>
                <c:pt idx="137">
                  <c:v>313</c:v>
                </c:pt>
                <c:pt idx="138">
                  <c:v>313.60000000000002</c:v>
                </c:pt>
                <c:pt idx="139">
                  <c:v>309.5</c:v>
                </c:pt>
                <c:pt idx="140">
                  <c:v>302.89999999999998</c:v>
                </c:pt>
                <c:pt idx="141">
                  <c:v>305</c:v>
                </c:pt>
                <c:pt idx="142">
                  <c:v>305</c:v>
                </c:pt>
                <c:pt idx="143">
                  <c:v>307.89999999999998</c:v>
                </c:pt>
                <c:pt idx="144">
                  <c:v>309.10000000000002</c:v>
                </c:pt>
                <c:pt idx="145">
                  <c:v>309.5</c:v>
                </c:pt>
                <c:pt idx="146">
                  <c:v>310.39999999999998</c:v>
                </c:pt>
                <c:pt idx="147">
                  <c:v>306.5</c:v>
                </c:pt>
                <c:pt idx="148">
                  <c:v>307.7</c:v>
                </c:pt>
                <c:pt idx="149">
                  <c:v>307.60000000000002</c:v>
                </c:pt>
                <c:pt idx="150">
                  <c:v>308.60000000000002</c:v>
                </c:pt>
                <c:pt idx="151">
                  <c:v>305.7</c:v>
                </c:pt>
                <c:pt idx="152">
                  <c:v>306.39999999999998</c:v>
                </c:pt>
                <c:pt idx="153">
                  <c:v>309.5</c:v>
                </c:pt>
                <c:pt idx="154">
                  <c:v>305</c:v>
                </c:pt>
                <c:pt idx="155">
                  <c:v>302.39999999999998</c:v>
                </c:pt>
                <c:pt idx="156">
                  <c:v>301.7</c:v>
                </c:pt>
                <c:pt idx="157">
                  <c:v>301</c:v>
                </c:pt>
                <c:pt idx="158">
                  <c:v>299.5</c:v>
                </c:pt>
                <c:pt idx="159">
                  <c:v>297.89999999999998</c:v>
                </c:pt>
                <c:pt idx="160">
                  <c:v>303.5</c:v>
                </c:pt>
                <c:pt idx="161">
                  <c:v>297.39999999999998</c:v>
                </c:pt>
                <c:pt idx="162">
                  <c:v>296.7</c:v>
                </c:pt>
                <c:pt idx="163">
                  <c:v>295.5</c:v>
                </c:pt>
                <c:pt idx="164">
                  <c:v>295.8</c:v>
                </c:pt>
                <c:pt idx="165">
                  <c:v>292.39999999999998</c:v>
                </c:pt>
                <c:pt idx="166">
                  <c:v>295.2</c:v>
                </c:pt>
                <c:pt idx="167">
                  <c:v>293.60000000000002</c:v>
                </c:pt>
                <c:pt idx="168">
                  <c:v>290.2</c:v>
                </c:pt>
                <c:pt idx="169">
                  <c:v>289.89999999999998</c:v>
                </c:pt>
                <c:pt idx="170">
                  <c:v>286.10000000000002</c:v>
                </c:pt>
                <c:pt idx="171">
                  <c:v>284.3</c:v>
                </c:pt>
                <c:pt idx="172">
                  <c:v>284.3</c:v>
                </c:pt>
                <c:pt idx="173">
                  <c:v>295</c:v>
                </c:pt>
                <c:pt idx="174">
                  <c:v>296.8</c:v>
                </c:pt>
                <c:pt idx="175">
                  <c:v>298.89999999999998</c:v>
                </c:pt>
                <c:pt idx="176">
                  <c:v>291.3</c:v>
                </c:pt>
                <c:pt idx="177">
                  <c:v>294.3</c:v>
                </c:pt>
                <c:pt idx="178">
                  <c:v>292.3</c:v>
                </c:pt>
                <c:pt idx="179">
                  <c:v>295.3</c:v>
                </c:pt>
                <c:pt idx="180">
                  <c:v>293.7</c:v>
                </c:pt>
                <c:pt idx="181">
                  <c:v>299.5</c:v>
                </c:pt>
                <c:pt idx="182">
                  <c:v>311.8</c:v>
                </c:pt>
                <c:pt idx="183">
                  <c:v>318</c:v>
                </c:pt>
                <c:pt idx="184">
                  <c:v>326.39999999999998</c:v>
                </c:pt>
                <c:pt idx="185">
                  <c:v>320.3</c:v>
                </c:pt>
                <c:pt idx="186">
                  <c:v>319.5</c:v>
                </c:pt>
                <c:pt idx="187">
                  <c:v>320</c:v>
                </c:pt>
                <c:pt idx="188">
                  <c:v>319.2</c:v>
                </c:pt>
                <c:pt idx="189">
                  <c:v>317.39999999999998</c:v>
                </c:pt>
                <c:pt idx="190">
                  <c:v>321.3</c:v>
                </c:pt>
                <c:pt idx="191">
                  <c:v>322.39999999999998</c:v>
                </c:pt>
                <c:pt idx="192">
                  <c:v>323.39999999999998</c:v>
                </c:pt>
                <c:pt idx="193">
                  <c:v>328.5</c:v>
                </c:pt>
                <c:pt idx="194">
                  <c:v>330.7</c:v>
                </c:pt>
                <c:pt idx="195">
                  <c:v>332.5</c:v>
                </c:pt>
                <c:pt idx="196">
                  <c:v>333.3</c:v>
                </c:pt>
                <c:pt idx="197">
                  <c:v>331</c:v>
                </c:pt>
                <c:pt idx="198">
                  <c:v>325.89999999999998</c:v>
                </c:pt>
                <c:pt idx="199">
                  <c:v>332</c:v>
                </c:pt>
                <c:pt idx="200">
                  <c:v>324.60000000000002</c:v>
                </c:pt>
                <c:pt idx="201">
                  <c:v>326.60000000000002</c:v>
                </c:pt>
                <c:pt idx="202">
                  <c:v>324.7</c:v>
                </c:pt>
                <c:pt idx="203">
                  <c:v>322.39999999999998</c:v>
                </c:pt>
                <c:pt idx="204">
                  <c:v>321.2</c:v>
                </c:pt>
                <c:pt idx="205">
                  <c:v>318.3</c:v>
                </c:pt>
                <c:pt idx="206">
                  <c:v>310.2</c:v>
                </c:pt>
                <c:pt idx="207">
                  <c:v>308.7</c:v>
                </c:pt>
                <c:pt idx="208">
                  <c:v>311.10000000000002</c:v>
                </c:pt>
                <c:pt idx="209">
                  <c:v>308.8</c:v>
                </c:pt>
                <c:pt idx="210">
                  <c:v>308.8</c:v>
                </c:pt>
                <c:pt idx="211">
                  <c:v>312.2</c:v>
                </c:pt>
                <c:pt idx="212">
                  <c:v>313.7</c:v>
                </c:pt>
                <c:pt idx="213">
                  <c:v>315.39999999999998</c:v>
                </c:pt>
                <c:pt idx="214">
                  <c:v>317.8</c:v>
                </c:pt>
                <c:pt idx="215">
                  <c:v>315.60000000000002</c:v>
                </c:pt>
                <c:pt idx="216">
                  <c:v>312.39999999999998</c:v>
                </c:pt>
                <c:pt idx="217">
                  <c:v>311.5</c:v>
                </c:pt>
                <c:pt idx="218">
                  <c:v>311</c:v>
                </c:pt>
                <c:pt idx="219">
                  <c:v>315.2</c:v>
                </c:pt>
                <c:pt idx="220">
                  <c:v>312.39999999999998</c:v>
                </c:pt>
                <c:pt idx="221">
                  <c:v>310.39999999999998</c:v>
                </c:pt>
                <c:pt idx="222">
                  <c:v>310.3</c:v>
                </c:pt>
                <c:pt idx="223">
                  <c:v>307.89999999999998</c:v>
                </c:pt>
                <c:pt idx="224">
                  <c:v>307.10000000000002</c:v>
                </c:pt>
                <c:pt idx="225">
                  <c:v>308.7</c:v>
                </c:pt>
                <c:pt idx="226">
                  <c:v>304.8</c:v>
                </c:pt>
                <c:pt idx="227">
                  <c:v>303</c:v>
                </c:pt>
                <c:pt idx="228">
                  <c:v>297.60000000000002</c:v>
                </c:pt>
                <c:pt idx="229">
                  <c:v>297</c:v>
                </c:pt>
                <c:pt idx="230">
                  <c:v>300</c:v>
                </c:pt>
                <c:pt idx="231">
                  <c:v>300.3</c:v>
                </c:pt>
                <c:pt idx="232">
                  <c:v>298</c:v>
                </c:pt>
                <c:pt idx="233">
                  <c:v>299.8</c:v>
                </c:pt>
                <c:pt idx="234">
                  <c:v>301.5</c:v>
                </c:pt>
                <c:pt idx="235">
                  <c:v>296.39999999999998</c:v>
                </c:pt>
                <c:pt idx="236">
                  <c:v>302.2</c:v>
                </c:pt>
                <c:pt idx="237">
                  <c:v>297.60000000000002</c:v>
                </c:pt>
                <c:pt idx="238">
                  <c:v>294.8</c:v>
                </c:pt>
                <c:pt idx="239">
                  <c:v>297.89999999999998</c:v>
                </c:pt>
                <c:pt idx="240">
                  <c:v>295</c:v>
                </c:pt>
                <c:pt idx="241">
                  <c:v>297</c:v>
                </c:pt>
                <c:pt idx="242">
                  <c:v>296.7</c:v>
                </c:pt>
                <c:pt idx="243">
                  <c:v>295.7</c:v>
                </c:pt>
                <c:pt idx="244">
                  <c:v>291.89999999999998</c:v>
                </c:pt>
                <c:pt idx="245">
                  <c:v>295</c:v>
                </c:pt>
                <c:pt idx="246">
                  <c:v>293.5</c:v>
                </c:pt>
                <c:pt idx="247">
                  <c:v>297</c:v>
                </c:pt>
                <c:pt idx="248">
                  <c:v>295</c:v>
                </c:pt>
                <c:pt idx="249">
                  <c:v>292.3</c:v>
                </c:pt>
                <c:pt idx="250">
                  <c:v>291</c:v>
                </c:pt>
                <c:pt idx="251">
                  <c:v>297.60000000000002</c:v>
                </c:pt>
                <c:pt idx="252">
                  <c:v>293.2</c:v>
                </c:pt>
                <c:pt idx="253">
                  <c:v>291.8</c:v>
                </c:pt>
                <c:pt idx="254">
                  <c:v>292.89999999999998</c:v>
                </c:pt>
                <c:pt idx="255">
                  <c:v>296.8</c:v>
                </c:pt>
                <c:pt idx="256">
                  <c:v>293.5</c:v>
                </c:pt>
                <c:pt idx="257">
                  <c:v>300.10000000000002</c:v>
                </c:pt>
                <c:pt idx="258">
                  <c:v>300.39999999999998</c:v>
                </c:pt>
                <c:pt idx="259">
                  <c:v>297.7</c:v>
                </c:pt>
                <c:pt idx="260">
                  <c:v>296.60000000000002</c:v>
                </c:pt>
                <c:pt idx="261">
                  <c:v>294.10000000000002</c:v>
                </c:pt>
                <c:pt idx="262">
                  <c:v>294.7</c:v>
                </c:pt>
                <c:pt idx="263">
                  <c:v>293.60000000000002</c:v>
                </c:pt>
                <c:pt idx="264">
                  <c:v>297</c:v>
                </c:pt>
                <c:pt idx="265">
                  <c:v>297.89999999999998</c:v>
                </c:pt>
                <c:pt idx="266">
                  <c:v>295.7</c:v>
                </c:pt>
                <c:pt idx="267">
                  <c:v>293.3</c:v>
                </c:pt>
                <c:pt idx="268">
                  <c:v>292.39999999999998</c:v>
                </c:pt>
                <c:pt idx="269">
                  <c:v>301</c:v>
                </c:pt>
                <c:pt idx="270">
                  <c:v>309</c:v>
                </c:pt>
                <c:pt idx="271">
                  <c:v>305.60000000000002</c:v>
                </c:pt>
                <c:pt idx="272">
                  <c:v>308.89999999999998</c:v>
                </c:pt>
                <c:pt idx="273">
                  <c:v>309.7</c:v>
                </c:pt>
                <c:pt idx="274">
                  <c:v>308.10000000000002</c:v>
                </c:pt>
                <c:pt idx="275">
                  <c:v>312.89999999999998</c:v>
                </c:pt>
                <c:pt idx="276">
                  <c:v>315.7</c:v>
                </c:pt>
                <c:pt idx="277">
                  <c:v>313.8</c:v>
                </c:pt>
                <c:pt idx="278">
                  <c:v>316.8</c:v>
                </c:pt>
                <c:pt idx="279">
                  <c:v>313.8</c:v>
                </c:pt>
                <c:pt idx="280">
                  <c:v>310.8</c:v>
                </c:pt>
                <c:pt idx="281">
                  <c:v>312.8</c:v>
                </c:pt>
                <c:pt idx="282">
                  <c:v>314.5</c:v>
                </c:pt>
                <c:pt idx="283">
                  <c:v>308.7</c:v>
                </c:pt>
                <c:pt idx="284">
                  <c:v>307.89999999999998</c:v>
                </c:pt>
                <c:pt idx="285">
                  <c:v>309.60000000000002</c:v>
                </c:pt>
                <c:pt idx="286">
                  <c:v>306.60000000000002</c:v>
                </c:pt>
                <c:pt idx="287">
                  <c:v>304.3</c:v>
                </c:pt>
                <c:pt idx="288">
                  <c:v>305</c:v>
                </c:pt>
                <c:pt idx="289">
                  <c:v>304.5</c:v>
                </c:pt>
                <c:pt idx="290">
                  <c:v>303.7</c:v>
                </c:pt>
                <c:pt idx="291">
                  <c:v>305.89999999999998</c:v>
                </c:pt>
                <c:pt idx="292">
                  <c:v>305.39999999999998</c:v>
                </c:pt>
                <c:pt idx="293">
                  <c:v>303.89999999999998</c:v>
                </c:pt>
                <c:pt idx="294">
                  <c:v>304.2</c:v>
                </c:pt>
                <c:pt idx="295">
                  <c:v>300.39999999999998</c:v>
                </c:pt>
                <c:pt idx="296">
                  <c:v>307.10000000000002</c:v>
                </c:pt>
                <c:pt idx="297">
                  <c:v>306.39999999999998</c:v>
                </c:pt>
                <c:pt idx="298">
                  <c:v>303.8</c:v>
                </c:pt>
                <c:pt idx="299">
                  <c:v>305.60000000000002</c:v>
                </c:pt>
                <c:pt idx="300">
                  <c:v>304.60000000000002</c:v>
                </c:pt>
                <c:pt idx="301">
                  <c:v>309.10000000000002</c:v>
                </c:pt>
                <c:pt idx="302">
                  <c:v>303.2</c:v>
                </c:pt>
                <c:pt idx="303">
                  <c:v>304</c:v>
                </c:pt>
                <c:pt idx="304">
                  <c:v>301.8</c:v>
                </c:pt>
                <c:pt idx="305">
                  <c:v>303</c:v>
                </c:pt>
                <c:pt idx="306">
                  <c:v>301</c:v>
                </c:pt>
                <c:pt idx="307">
                  <c:v>300.3</c:v>
                </c:pt>
                <c:pt idx="308">
                  <c:v>296.7</c:v>
                </c:pt>
                <c:pt idx="309">
                  <c:v>295.8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6328864"/>
        <c:axId val="-1186325600"/>
      </c:lineChart>
      <c:dateAx>
        <c:axId val="-118632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n-US"/>
                  <a:t>Source: USDA, Agricultural Marketing Service, </a:t>
                </a:r>
                <a:r>
                  <a:rPr lang="en-US" i="1"/>
                  <a:t>Central Illinois Soybean Processor Bids</a:t>
                </a:r>
                <a:r>
                  <a:rPr lang="en-US" i="1" baseline="0"/>
                  <a:t>.</a:t>
                </a:r>
                <a:endParaRPr lang="en-US" i="1"/>
              </a:p>
            </c:rich>
          </c:tx>
          <c:layout>
            <c:manualLayout>
              <c:xMode val="edge"/>
              <c:yMode val="edge"/>
              <c:x val="5.461349329205719E-2"/>
              <c:y val="0.92565434235918576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186319616"/>
        <c:crosses val="autoZero"/>
        <c:auto val="1"/>
        <c:lblOffset val="100"/>
        <c:baseTimeUnit val="days"/>
        <c:majorUnit val="60"/>
        <c:majorTimeUnit val="days"/>
      </c:dateAx>
      <c:valAx>
        <c:axId val="-1186319616"/>
        <c:scaling>
          <c:orientation val="minMax"/>
          <c:max val="10"/>
          <c:min val="7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$/bushel</a:t>
                </a:r>
              </a:p>
            </c:rich>
          </c:tx>
          <c:layout>
            <c:manualLayout>
              <c:xMode val="edge"/>
              <c:yMode val="edge"/>
              <c:x val="3.2149278290418623E-2"/>
              <c:y val="0.13561108502391248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186324512"/>
        <c:crosses val="autoZero"/>
        <c:crossBetween val="between"/>
        <c:majorUnit val="1"/>
        <c:minorUnit val="0.25"/>
      </c:valAx>
      <c:valAx>
        <c:axId val="-1186325600"/>
        <c:scaling>
          <c:orientation val="minMax"/>
          <c:max val="34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$/short ton</a:t>
                </a:r>
              </a:p>
            </c:rich>
          </c:tx>
          <c:layout>
            <c:manualLayout>
              <c:xMode val="edge"/>
              <c:yMode val="edge"/>
              <c:x val="0.81333714324489648"/>
              <c:y val="0.1314475232503971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-1186328864"/>
        <c:crosses val="max"/>
        <c:crossBetween val="between"/>
        <c:minorUnit val="5"/>
      </c:valAx>
      <c:dateAx>
        <c:axId val="-1186328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86325600"/>
        <c:crosses val="autoZero"/>
        <c:auto val="1"/>
        <c:lblOffset val="100"/>
        <c:baseTimeUnit val="days"/>
      </c:dateAx>
      <c:spPr>
        <a:ln>
          <a:noFill/>
        </a:ln>
      </c:spPr>
    </c:plotArea>
    <c:legend>
      <c:legendPos val="r"/>
      <c:layout>
        <c:manualLayout>
          <c:xMode val="edge"/>
          <c:yMode val="edge"/>
          <c:x val="0.59360464541982438"/>
          <c:y val="0.21087415479529389"/>
          <c:w val="0.23311848657943859"/>
          <c:h val="8.858231600243281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050" b="1"/>
              <a:t>U.S. soybean export sales commitments on November 28 exceed last year's pace</a:t>
            </a:r>
          </a:p>
        </c:rich>
      </c:tx>
      <c:layout>
        <c:manualLayout>
          <c:xMode val="edge"/>
          <c:yMode val="edge"/>
          <c:x val="7.4644442055296509E-2"/>
          <c:y val="5.10451817450644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502072426781483"/>
          <c:y val="0.19511964750582575"/>
          <c:w val="0.72607747510518172"/>
          <c:h val="0.65579108761447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'Oil Crops Chart Gallery Fig 1'!$B$1:$B$2</c:f>
              <c:strCache>
                <c:ptCount val="2"/>
                <c:pt idx="0">
                  <c:v>Cumulative</c:v>
                </c:pt>
                <c:pt idx="1">
                  <c:v>shipments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invertIfNegative val="0"/>
          <c:cat>
            <c:strRef>
              <c:f>'Oil Crops Chart Gallery Fig 1'!$A$3:$A$6</c:f>
              <c:strCache>
                <c:ptCount val="4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</c:strCache>
            </c:strRef>
          </c:cat>
          <c:val>
            <c:numRef>
              <c:f>'Oil Crops Chart Gallery Fig 1'!$B$3:$B$6</c:f>
              <c:numCache>
                <c:formatCode>_(* #,##0.0_);_(* \(#,##0.0\);_(* "-"??_);_(@_)</c:formatCode>
                <c:ptCount val="4"/>
                <c:pt idx="0">
                  <c:v>25.9298</c:v>
                </c:pt>
                <c:pt idx="1">
                  <c:v>23.040099999999999</c:v>
                </c:pt>
                <c:pt idx="2">
                  <c:v>13.1676</c:v>
                </c:pt>
                <c:pt idx="3">
                  <c:v>15.9879</c:v>
                </c:pt>
              </c:numCache>
            </c:numRef>
          </c:val>
        </c:ser>
        <c:ser>
          <c:idx val="1"/>
          <c:order val="1"/>
          <c:tx>
            <c:strRef>
              <c:f>'Oil Crops Chart Gallery Fig 1'!$C$2</c:f>
              <c:strCache>
                <c:ptCount val="1"/>
                <c:pt idx="0">
                  <c:v>Outstanding sales</c:v>
                </c:pt>
              </c:strCache>
            </c:strRef>
          </c:tx>
          <c:spPr>
            <a:pattFill prst="wdDnDiag">
              <a:fgClr>
                <a:srgbClr val="C00000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  <a:prstDash val="lgDash"/>
            </a:ln>
          </c:spPr>
          <c:invertIfNegative val="0"/>
          <c:cat>
            <c:strRef>
              <c:f>'Oil Crops Chart Gallery Fig 1'!$A$3:$A$6</c:f>
              <c:strCache>
                <c:ptCount val="4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</c:strCache>
            </c:strRef>
          </c:cat>
          <c:val>
            <c:numRef>
              <c:f>'Oil Crops Chart Gallery Fig 1'!$C$3:$C$6</c:f>
              <c:numCache>
                <c:formatCode>_(* #,##0.0_);_(* \(#,##0.0\);_(* "-"??_);_(@_)</c:formatCode>
                <c:ptCount val="4"/>
                <c:pt idx="0">
                  <c:v>17.1601</c:v>
                </c:pt>
                <c:pt idx="1">
                  <c:v>13.301500000000001</c:v>
                </c:pt>
                <c:pt idx="2">
                  <c:v>10.980799999999999</c:v>
                </c:pt>
                <c:pt idx="3">
                  <c:v>9.9562999999999988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86317984"/>
        <c:axId val="-1186329952"/>
      </c:barChart>
      <c:catAx>
        <c:axId val="-118631798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/>
                  <a:t>Source: USDA, Foreign Agricultural Service, </a:t>
                </a:r>
                <a:r>
                  <a:rPr lang="en-US" sz="800" i="1"/>
                  <a:t>Export Sales</a:t>
                </a:r>
                <a:r>
                  <a:rPr lang="en-US" sz="800"/>
                  <a:t>.</a:t>
                </a:r>
              </a:p>
            </c:rich>
          </c:tx>
          <c:layout>
            <c:manualLayout>
              <c:xMode val="edge"/>
              <c:yMode val="edge"/>
              <c:x val="8.1262493219679238E-2"/>
              <c:y val="0.94608098273831487"/>
            </c:manualLayout>
          </c:layout>
          <c:overlay val="0"/>
        </c:title>
        <c:numFmt formatCode="mmm\-d" sourceLinked="0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186329952"/>
        <c:crosses val="autoZero"/>
        <c:auto val="1"/>
        <c:lblAlgn val="ctr"/>
        <c:lblOffset val="300"/>
        <c:noMultiLvlLbl val="1"/>
      </c:catAx>
      <c:valAx>
        <c:axId val="-1186329952"/>
        <c:scaling>
          <c:orientation val="minMax"/>
          <c:max val="5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7.4149688008613518E-2"/>
              <c:y val="0.12412901521244631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186317984"/>
        <c:crosses val="autoZero"/>
        <c:crossBetween val="between"/>
        <c:majorUnit val="10"/>
        <c:minorUnit val="5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62966958131581963"/>
          <c:y val="0.20664728214468936"/>
          <c:w val="0.16862366038112381"/>
          <c:h val="8.800943303307397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l"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Strong gains for China soybean area lift domestic production</a:t>
            </a:r>
          </a:p>
        </c:rich>
      </c:tx>
      <c:layout>
        <c:manualLayout>
          <c:xMode val="edge"/>
          <c:yMode val="edge"/>
          <c:x val="5.2168719093080455E-2"/>
          <c:y val="6.20847181343656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036488153600843E-2"/>
          <c:y val="0.18703442093917655"/>
          <c:w val="0.74789475912285153"/>
          <c:h val="0.6616158969620916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'Oil Crops Chart Gallery Fig 2'!$C$2</c:f>
              <c:strCache>
                <c:ptCount val="1"/>
                <c:pt idx="0">
                  <c:v>Production (right axis)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2'!$A$4:$A$14</c:f>
              <c:strCache>
                <c:ptCount val="11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  <c:pt idx="9">
                  <c:v>2018/19</c:v>
                </c:pt>
                <c:pt idx="10">
                  <c:v>2019/20</c:v>
                </c:pt>
              </c:strCache>
            </c:strRef>
          </c:cat>
          <c:val>
            <c:numRef>
              <c:f>'Oil Crops Chart Gallery Fig 2'!$C$4:$C$14</c:f>
              <c:numCache>
                <c:formatCode>_(* #,##0.000_);_(* \(#,##0.000\);_(* "-"??_);_(@_)</c:formatCode>
                <c:ptCount val="11"/>
                <c:pt idx="0">
                  <c:v>14.981999999999999</c:v>
                </c:pt>
                <c:pt idx="1">
                  <c:v>15.356999999999999</c:v>
                </c:pt>
                <c:pt idx="2">
                  <c:v>14.879</c:v>
                </c:pt>
                <c:pt idx="3">
                  <c:v>13.436</c:v>
                </c:pt>
                <c:pt idx="4">
                  <c:v>12.407</c:v>
                </c:pt>
                <c:pt idx="5">
                  <c:v>12.686</c:v>
                </c:pt>
                <c:pt idx="6">
                  <c:v>12.367000000000001</c:v>
                </c:pt>
                <c:pt idx="7">
                  <c:v>13.596</c:v>
                </c:pt>
                <c:pt idx="8">
                  <c:v>15.282999999999999</c:v>
                </c:pt>
                <c:pt idx="9">
                  <c:v>15.9</c:v>
                </c:pt>
                <c:pt idx="10">
                  <c:v>18.100000000000001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86328320"/>
        <c:axId val="-1186323424"/>
      </c:barChart>
      <c:lineChart>
        <c:grouping val="stacked"/>
        <c:varyColors val="0"/>
        <c:ser>
          <c:idx val="0"/>
          <c:order val="0"/>
          <c:tx>
            <c:strRef>
              <c:f>'Oil Crops Chart Gallery Fig 2'!$B$2</c:f>
              <c:strCache>
                <c:ptCount val="1"/>
                <c:pt idx="0">
                  <c:v>Area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'Oil Crops Chart Gallery Fig 2'!$A$4:$A$14</c:f>
              <c:strCache>
                <c:ptCount val="11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  <c:pt idx="9">
                  <c:v>2018/19</c:v>
                </c:pt>
                <c:pt idx="10">
                  <c:v>2019/20</c:v>
                </c:pt>
              </c:strCache>
            </c:strRef>
          </c:cat>
          <c:val>
            <c:numRef>
              <c:f>'Oil Crops Chart Gallery Fig 2'!$B$4:$B$14</c:f>
              <c:numCache>
                <c:formatCode>_(* #,##0.000_);_(* \(#,##0.000\);_(* "-"??_);_(@_)</c:formatCode>
                <c:ptCount val="11"/>
                <c:pt idx="0">
                  <c:v>9.19</c:v>
                </c:pt>
                <c:pt idx="1">
                  <c:v>8.67</c:v>
                </c:pt>
                <c:pt idx="2">
                  <c:v>8.1029999999999998</c:v>
                </c:pt>
                <c:pt idx="3">
                  <c:v>7.4050000000000002</c:v>
                </c:pt>
                <c:pt idx="4">
                  <c:v>7.05</c:v>
                </c:pt>
                <c:pt idx="5">
                  <c:v>7.0979999999999999</c:v>
                </c:pt>
                <c:pt idx="6">
                  <c:v>6.827</c:v>
                </c:pt>
                <c:pt idx="7">
                  <c:v>7.5990000000000002</c:v>
                </c:pt>
                <c:pt idx="8">
                  <c:v>8.2449999999999992</c:v>
                </c:pt>
                <c:pt idx="9">
                  <c:v>8.4</c:v>
                </c:pt>
                <c:pt idx="10">
                  <c:v>11.066000000000001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6325056"/>
        <c:axId val="-1186323968"/>
      </c:lineChart>
      <c:catAx>
        <c:axId val="-118632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Source: USDA, Foreign Agricultural Service, </a:t>
                </a:r>
                <a:r>
                  <a:rPr lang="en-US" i="1"/>
                  <a:t>Oilseeds: World Markets and Trade</a:t>
                </a:r>
                <a:r>
                  <a:rPr lang="en-US"/>
                  <a:t>.</a:t>
                </a:r>
              </a:p>
            </c:rich>
          </c:tx>
          <c:layout>
            <c:manualLayout>
              <c:xMode val="edge"/>
              <c:yMode val="edge"/>
              <c:x val="5.183551812461485E-2"/>
              <c:y val="0.90981521106906438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186323968"/>
        <c:crosses val="autoZero"/>
        <c:auto val="0"/>
        <c:lblAlgn val="ctr"/>
        <c:lblOffset val="100"/>
        <c:noMultiLvlLbl val="0"/>
      </c:catAx>
      <c:valAx>
        <c:axId val="-1186323968"/>
        <c:scaling>
          <c:orientation val="minMax"/>
          <c:max val="15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hectares</a:t>
                </a:r>
              </a:p>
            </c:rich>
          </c:tx>
          <c:layout>
            <c:manualLayout>
              <c:xMode val="edge"/>
              <c:yMode val="edge"/>
              <c:x val="5.5656993526938744E-2"/>
              <c:y val="0.11932715551324236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186325056"/>
        <c:crosses val="autoZero"/>
        <c:crossBetween val="between"/>
        <c:majorUnit val="5"/>
      </c:valAx>
      <c:valAx>
        <c:axId val="-118632342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0.82531769375202646"/>
              <c:y val="0.1161315546967859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-1186328320"/>
        <c:crosses val="max"/>
        <c:crossBetween val="between"/>
      </c:valAx>
      <c:catAx>
        <c:axId val="-118632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186323424"/>
        <c:crosses val="autoZero"/>
        <c:auto val="0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>
        <c:manualLayout>
          <c:xMode val="edge"/>
          <c:yMode val="edge"/>
          <c:x val="0.53265463452190431"/>
          <c:y val="0.19904998612775338"/>
          <c:w val="0.20117402385487645"/>
          <c:h val="9.089346669009641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5" name="Picture 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6" name="Picture 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7" name="Picture 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8" name="Picture 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9" name="Picture 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0" name="Picture 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1" name="Picture 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3" name="Picture 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4" name="Picture 1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5" name="Picture 1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6" name="Picture 1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7" name="Picture 1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8" name="Picture 1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9" name="Picture 1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0" name="Picture 1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1" name="Picture 1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2" name="Picture 1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3" name="Picture 1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4" name="Picture 2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5" name="Picture 2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6" name="Picture 2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7" name="Picture 2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8" name="Picture 2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9" name="Picture 2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0" name="Picture 2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1" name="Picture 2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2" name="Picture 2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3" name="Picture 2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4" name="Picture 3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5" name="Picture 3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6" name="Picture 3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7" name="Picture 3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8" name="Picture 3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9" name="Picture 3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0" name="Picture 3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1" name="Picture 3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2" name="Picture 3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3" name="Picture 3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4" name="Picture 4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5" name="Picture 4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6" name="Picture 4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7" name="Picture 209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8" name="Picture 209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9" name="Picture 210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0" name="Picture 210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1" name="Picture 210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2" name="Picture 210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3" name="Picture 210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4" name="Picture 210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24247</xdr:colOff>
      <xdr:row>0</xdr:row>
      <xdr:rowOff>108239</xdr:rowOff>
    </xdr:from>
    <xdr:to>
      <xdr:col>13</xdr:col>
      <xdr:colOff>567172</xdr:colOff>
      <xdr:row>26</xdr:row>
      <xdr:rowOff>70139</xdr:rowOff>
    </xdr:to>
    <xdr:graphicFrame macro="">
      <xdr:nvGraphicFramePr>
        <xdr:cNvPr id="3077" name="Chart 4" descr="A chart of daily central Illinois prices for soybeans and soybean meal." title="Central Illinois cash prices fluctuate as export prospects evolv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164522</xdr:colOff>
      <xdr:row>1</xdr:row>
      <xdr:rowOff>8660</xdr:rowOff>
    </xdr:from>
    <xdr:to>
      <xdr:col>4</xdr:col>
      <xdr:colOff>95249</xdr:colOff>
      <xdr:row>2</xdr:row>
      <xdr:rowOff>8660</xdr:rowOff>
    </xdr:to>
    <xdr:sp macro="" textlink="">
      <xdr:nvSpPr>
        <xdr:cNvPr id="2" name="TextBox 1"/>
        <xdr:cNvSpPr txBox="1"/>
      </xdr:nvSpPr>
      <xdr:spPr>
        <a:xfrm>
          <a:off x="4658590" y="173183"/>
          <a:ext cx="632114" cy="1645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53975</xdr:colOff>
      <xdr:row>0</xdr:row>
      <xdr:rowOff>31750</xdr:rowOff>
    </xdr:from>
    <xdr:to>
      <xdr:col>15</xdr:col>
      <xdr:colOff>124114</xdr:colOff>
      <xdr:row>26</xdr:row>
      <xdr:rowOff>87168</xdr:rowOff>
    </xdr:to>
    <xdr:graphicFrame macro="">
      <xdr:nvGraphicFramePr>
        <xdr:cNvPr id="2" name="Chart 4" descr="A chart of U.S. export sales commitments for soybeans." title="U.S. soybean export sales commitments on November 28 exceed last year's pac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511175</xdr:colOff>
      <xdr:row>0</xdr:row>
      <xdr:rowOff>57150</xdr:rowOff>
    </xdr:from>
    <xdr:to>
      <xdr:col>5</xdr:col>
      <xdr:colOff>533400</xdr:colOff>
      <xdr:row>1</xdr:row>
      <xdr:rowOff>117475</xdr:rowOff>
    </xdr:to>
    <xdr:sp macro="" textlink="">
      <xdr:nvSpPr>
        <xdr:cNvPr id="3" name="TextBox 2"/>
        <xdr:cNvSpPr txBox="1"/>
      </xdr:nvSpPr>
      <xdr:spPr>
        <a:xfrm>
          <a:off x="3787775" y="57150"/>
          <a:ext cx="736600" cy="222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77932</xdr:colOff>
      <xdr:row>0</xdr:row>
      <xdr:rowOff>69271</xdr:rowOff>
    </xdr:from>
    <xdr:to>
      <xdr:col>14</xdr:col>
      <xdr:colOff>362816</xdr:colOff>
      <xdr:row>24</xdr:row>
      <xdr:rowOff>130751</xdr:rowOff>
    </xdr:to>
    <xdr:graphicFrame macro="">
      <xdr:nvGraphicFramePr>
        <xdr:cNvPr id="3" name="Chart 4" descr="A chart of annual soybean area and production in China." title="Strong gains for China soybean area lift domestic producti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409865</xdr:colOff>
      <xdr:row>0</xdr:row>
      <xdr:rowOff>152974</xdr:rowOff>
    </xdr:from>
    <xdr:to>
      <xdr:col>5</xdr:col>
      <xdr:colOff>282866</xdr:colOff>
      <xdr:row>2</xdr:row>
      <xdr:rowOff>25974</xdr:rowOff>
    </xdr:to>
    <xdr:sp macro="" textlink="">
      <xdr:nvSpPr>
        <xdr:cNvPr id="2" name="TextBox 1"/>
        <xdr:cNvSpPr txBox="1"/>
      </xdr:nvSpPr>
      <xdr:spPr>
        <a:xfrm>
          <a:off x="2851729" y="152974"/>
          <a:ext cx="574387" cy="2193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2"/>
  </sheetPr>
  <dimension ref="A1:C18"/>
  <sheetViews>
    <sheetView tabSelected="1" workbookViewId="0">
      <selection activeCell="A2" sqref="A2"/>
    </sheetView>
  </sheetViews>
  <sheetFormatPr defaultColWidth="9.7109375" defaultRowHeight="12.75" x14ac:dyDescent="0.2"/>
  <cols>
    <col min="1" max="1" width="64.7109375" style="30" customWidth="1"/>
    <col min="2" max="16384" width="9.7109375" style="22"/>
  </cols>
  <sheetData>
    <row r="1" spans="1:3" ht="44.25" customHeight="1" x14ac:dyDescent="0.2">
      <c r="A1" s="21"/>
    </row>
    <row r="2" spans="1:3" ht="18" x14ac:dyDescent="0.25">
      <c r="A2" s="23" t="s">
        <v>120</v>
      </c>
    </row>
    <row r="3" spans="1:3" s="25" customFormat="1" ht="11.25" x14ac:dyDescent="0.2">
      <c r="A3" s="24"/>
    </row>
    <row r="4" spans="1:3" x14ac:dyDescent="0.2">
      <c r="A4" s="26" t="s">
        <v>121</v>
      </c>
    </row>
    <row r="5" spans="1:3" x14ac:dyDescent="0.2">
      <c r="A5" s="34">
        <f ca="1">TODAY()</f>
        <v>43811</v>
      </c>
      <c r="B5" s="27"/>
    </row>
    <row r="6" spans="1:3" s="25" customFormat="1" x14ac:dyDescent="0.2">
      <c r="A6" s="24"/>
      <c r="B6" s="27"/>
      <c r="C6" s="28"/>
    </row>
    <row r="7" spans="1:3" x14ac:dyDescent="0.2">
      <c r="A7" s="33" t="s">
        <v>72</v>
      </c>
      <c r="B7" s="29"/>
      <c r="C7" s="25"/>
    </row>
    <row r="8" spans="1:3" x14ac:dyDescent="0.2">
      <c r="A8" s="33" t="s">
        <v>23</v>
      </c>
      <c r="B8" s="31"/>
    </row>
    <row r="9" spans="1:3" x14ac:dyDescent="0.2">
      <c r="A9" s="33" t="s">
        <v>25</v>
      </c>
      <c r="B9" s="31"/>
    </row>
    <row r="10" spans="1:3" x14ac:dyDescent="0.2">
      <c r="A10" s="33" t="s">
        <v>11</v>
      </c>
      <c r="B10" s="31"/>
    </row>
    <row r="11" spans="1:3" x14ac:dyDescent="0.2">
      <c r="A11" s="33" t="s">
        <v>12</v>
      </c>
      <c r="B11" s="31"/>
    </row>
    <row r="12" spans="1:3" x14ac:dyDescent="0.2">
      <c r="A12" s="33" t="s">
        <v>13</v>
      </c>
      <c r="B12" s="31"/>
    </row>
    <row r="13" spans="1:3" x14ac:dyDescent="0.2">
      <c r="A13" s="33" t="s">
        <v>14</v>
      </c>
      <c r="B13" s="31"/>
    </row>
    <row r="14" spans="1:3" x14ac:dyDescent="0.2">
      <c r="A14" s="33" t="s">
        <v>51</v>
      </c>
      <c r="B14" s="31"/>
    </row>
    <row r="15" spans="1:3" x14ac:dyDescent="0.2">
      <c r="A15" s="33" t="s">
        <v>22</v>
      </c>
      <c r="B15" s="31"/>
    </row>
    <row r="16" spans="1:3" x14ac:dyDescent="0.2">
      <c r="A16" s="33" t="s">
        <v>43</v>
      </c>
      <c r="B16" s="31"/>
    </row>
    <row r="17" spans="1:2" x14ac:dyDescent="0.2">
      <c r="A17" s="32" t="s">
        <v>168</v>
      </c>
      <c r="B17" s="31"/>
    </row>
    <row r="18" spans="1:2" x14ac:dyDescent="0.2">
      <c r="A18" s="32"/>
    </row>
  </sheetData>
  <hyperlinks>
    <hyperlink ref="A7" location="'Table 1'!A1" display="Table 1--Soybeans:  Annual U.S. supply and disappearance"/>
    <hyperlink ref="A8" location="'Table 2'!A1" display="Table 2--Soybean meal:  U.S. supply and disappearance"/>
    <hyperlink ref="A9" location="'Table 3'!A1" display="Table 3--Soybean oil:  U.S. supply and disappearance"/>
    <hyperlink ref="A10" location="'Tables 4-7'!A1" display="Table 4--Cottonseed:  U.S. supply and disappearance"/>
    <hyperlink ref="A11" location="'Tables 4-7'!A1" display="Table 5--Cottonseed meal:  U.S. supply and disappearance"/>
    <hyperlink ref="A12" location="'Tables 4-7'!A1" display="Table 6--Cottonseed oil:  U.S. supply and disappearance"/>
    <hyperlink ref="A13" location="'Tables 4-7'!A1" display="Table 7--Peanuts:  U.S. supply and disappearance"/>
    <hyperlink ref="A14" location="'Table 8'!A1" display="Table 8--Oilseed prices received by U.S. farmers"/>
    <hyperlink ref="A15" location="'Table 9'!A1" display="Table 9--U.S. vegetable oil and fats prices"/>
    <hyperlink ref="A16" location="'Table 10'!A1" display="Table 10--U.S. oilseed meal prices 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3"/>
  <sheetViews>
    <sheetView workbookViewId="0">
      <selection activeCell="C7" sqref="C7"/>
    </sheetView>
  </sheetViews>
  <sheetFormatPr defaultRowHeight="12.75" x14ac:dyDescent="0.2"/>
  <cols>
    <col min="1" max="1" width="17" style="160" customWidth="1"/>
    <col min="2" max="4" width="10.7109375" style="165" customWidth="1"/>
    <col min="5" max="5" width="10.7109375" style="1" customWidth="1"/>
    <col min="7" max="7" width="10.7109375" style="16" bestFit="1" customWidth="1"/>
  </cols>
  <sheetData>
    <row r="1" spans="1:13" x14ac:dyDescent="0.2">
      <c r="A1" s="159" t="s">
        <v>44</v>
      </c>
      <c r="B1" s="165" t="s">
        <v>174</v>
      </c>
      <c r="F1" s="139"/>
      <c r="G1" s="124"/>
      <c r="J1" s="10"/>
      <c r="K1" s="19"/>
    </row>
    <row r="2" spans="1:13" ht="14.25" x14ac:dyDescent="0.2">
      <c r="A2" s="159" t="s">
        <v>169</v>
      </c>
      <c r="B2" s="165" t="s">
        <v>175</v>
      </c>
      <c r="C2" s="165" t="s">
        <v>173</v>
      </c>
      <c r="E2" s="154"/>
      <c r="G2" s="36"/>
    </row>
    <row r="3" spans="1:13" x14ac:dyDescent="0.2">
      <c r="A3" s="165" t="s">
        <v>117</v>
      </c>
      <c r="B3" s="165">
        <v>25.9298</v>
      </c>
      <c r="C3" s="165">
        <v>17.1601</v>
      </c>
      <c r="E3" s="165"/>
      <c r="F3" s="139"/>
      <c r="G3"/>
    </row>
    <row r="4" spans="1:13" x14ac:dyDescent="0.2">
      <c r="A4" s="165" t="s">
        <v>119</v>
      </c>
      <c r="B4" s="165">
        <v>23.040099999999999</v>
      </c>
      <c r="C4" s="165">
        <v>13.301500000000001</v>
      </c>
      <c r="E4" s="165"/>
      <c r="F4" s="150"/>
      <c r="G4" s="132"/>
      <c r="J4" s="134"/>
      <c r="K4" s="135"/>
    </row>
    <row r="5" spans="1:13" x14ac:dyDescent="0.2">
      <c r="A5" s="165" t="s">
        <v>160</v>
      </c>
      <c r="B5" s="165">
        <v>13.1676</v>
      </c>
      <c r="C5" s="165">
        <v>10.980799999999999</v>
      </c>
      <c r="E5" s="165"/>
      <c r="F5" s="150"/>
      <c r="G5" s="132"/>
      <c r="J5" s="134"/>
      <c r="K5" s="135"/>
    </row>
    <row r="6" spans="1:13" x14ac:dyDescent="0.2">
      <c r="A6" s="165" t="s">
        <v>167</v>
      </c>
      <c r="B6" s="165">
        <v>15.9879</v>
      </c>
      <c r="C6" s="165">
        <v>9.9562999999999988</v>
      </c>
      <c r="E6" s="165"/>
      <c r="F6" s="150"/>
      <c r="G6" s="132"/>
      <c r="J6" s="134"/>
      <c r="K6" s="135"/>
    </row>
    <row r="7" spans="1:13" x14ac:dyDescent="0.2">
      <c r="A7" s="163"/>
      <c r="E7" s="165"/>
      <c r="F7" s="150"/>
      <c r="G7" s="132"/>
      <c r="J7" s="134"/>
      <c r="K7" s="135"/>
    </row>
    <row r="8" spans="1:13" x14ac:dyDescent="0.2">
      <c r="A8" s="163"/>
      <c r="E8" s="165"/>
      <c r="F8" s="150"/>
      <c r="G8" s="132"/>
      <c r="J8" s="134"/>
      <c r="K8" s="135"/>
    </row>
    <row r="9" spans="1:13" x14ac:dyDescent="0.2">
      <c r="A9" s="163"/>
      <c r="E9" s="165"/>
      <c r="F9" s="150"/>
      <c r="G9" s="132"/>
      <c r="I9" s="135"/>
      <c r="J9" s="134"/>
      <c r="K9" s="135"/>
    </row>
    <row r="10" spans="1:13" x14ac:dyDescent="0.2">
      <c r="A10" s="163"/>
      <c r="E10" s="165"/>
      <c r="F10" s="150"/>
      <c r="G10" s="132"/>
      <c r="I10" s="135"/>
      <c r="J10" s="134"/>
      <c r="K10" s="135"/>
    </row>
    <row r="11" spans="1:13" x14ac:dyDescent="0.2">
      <c r="A11" s="163"/>
      <c r="E11" s="165"/>
      <c r="F11" s="150"/>
      <c r="G11" s="132"/>
      <c r="I11" s="135"/>
      <c r="J11" s="134"/>
    </row>
    <row r="12" spans="1:13" x14ac:dyDescent="0.2">
      <c r="A12" s="163"/>
      <c r="E12" s="155"/>
      <c r="F12" s="150"/>
      <c r="G12" s="132"/>
      <c r="I12" s="135"/>
      <c r="J12" s="134"/>
    </row>
    <row r="13" spans="1:13" x14ac:dyDescent="0.2">
      <c r="A13" s="163"/>
      <c r="E13" s="155"/>
      <c r="F13" s="150"/>
      <c r="G13" s="132"/>
      <c r="I13" s="135"/>
      <c r="J13" s="134"/>
    </row>
    <row r="14" spans="1:13" x14ac:dyDescent="0.2">
      <c r="A14" s="163"/>
      <c r="E14" s="155"/>
      <c r="F14" s="150"/>
      <c r="G14" s="132"/>
      <c r="I14" s="135"/>
      <c r="J14" s="134"/>
    </row>
    <row r="15" spans="1:13" x14ac:dyDescent="0.2">
      <c r="A15" s="163"/>
      <c r="E15" s="156"/>
      <c r="F15" s="150"/>
      <c r="G15" s="135"/>
      <c r="I15" s="135"/>
    </row>
    <row r="16" spans="1:13" x14ac:dyDescent="0.2">
      <c r="A16" s="163"/>
      <c r="E16" s="157"/>
      <c r="F16" s="133"/>
      <c r="G16" s="135"/>
      <c r="K16" s="132"/>
      <c r="L16" s="132"/>
      <c r="M16" s="132"/>
    </row>
    <row r="17" spans="1:12" x14ac:dyDescent="0.2">
      <c r="A17" s="163"/>
      <c r="E17" s="158"/>
      <c r="F17" s="133"/>
      <c r="G17" s="135"/>
      <c r="K17" s="13"/>
      <c r="L17" s="13"/>
    </row>
    <row r="18" spans="1:12" x14ac:dyDescent="0.2">
      <c r="A18" s="163"/>
      <c r="E18" s="158"/>
      <c r="F18" s="133"/>
      <c r="G18" s="135"/>
      <c r="I18" s="134"/>
      <c r="J18" s="134"/>
      <c r="K18" s="13"/>
      <c r="L18" s="13"/>
    </row>
    <row r="19" spans="1:12" x14ac:dyDescent="0.2">
      <c r="A19" s="163"/>
      <c r="E19" s="158"/>
      <c r="F19" s="133"/>
      <c r="G19" s="135"/>
      <c r="I19" s="9"/>
      <c r="J19" s="134"/>
      <c r="K19" s="13"/>
      <c r="L19" s="13"/>
    </row>
    <row r="20" spans="1:12" x14ac:dyDescent="0.2">
      <c r="A20" s="163"/>
      <c r="E20" s="158"/>
      <c r="F20" s="133"/>
      <c r="G20" s="135"/>
      <c r="I20" s="9"/>
      <c r="J20" s="134"/>
      <c r="K20" s="13"/>
      <c r="L20" s="13"/>
    </row>
    <row r="21" spans="1:12" x14ac:dyDescent="0.2">
      <c r="A21" s="163"/>
      <c r="E21" s="158"/>
      <c r="F21" s="133"/>
      <c r="G21" s="135"/>
      <c r="I21" s="9"/>
      <c r="J21" s="134"/>
      <c r="K21" s="13"/>
      <c r="L21" s="13"/>
    </row>
    <row r="22" spans="1:12" x14ac:dyDescent="0.2">
      <c r="A22" s="163"/>
      <c r="E22" s="158"/>
      <c r="F22" s="133"/>
      <c r="G22" s="135"/>
      <c r="I22" s="9"/>
      <c r="J22" s="134"/>
      <c r="K22" s="13"/>
      <c r="L22" s="13"/>
    </row>
    <row r="23" spans="1:12" x14ac:dyDescent="0.2">
      <c r="A23" s="163"/>
      <c r="E23" s="158"/>
      <c r="F23" s="133"/>
      <c r="G23" s="9"/>
      <c r="I23" s="9"/>
      <c r="J23" s="134"/>
      <c r="K23" s="13"/>
      <c r="L23" s="13"/>
    </row>
    <row r="24" spans="1:12" x14ac:dyDescent="0.2">
      <c r="A24" s="163"/>
      <c r="E24" s="158"/>
      <c r="F24" s="133"/>
      <c r="G24" s="9"/>
      <c r="I24" s="9"/>
      <c r="J24" s="134"/>
      <c r="K24" s="13"/>
      <c r="L24" s="13"/>
    </row>
    <row r="25" spans="1:12" x14ac:dyDescent="0.2">
      <c r="A25" s="163"/>
      <c r="E25" s="158"/>
      <c r="F25" s="133"/>
      <c r="G25" s="9"/>
      <c r="I25" s="9"/>
      <c r="J25" s="134"/>
      <c r="K25" s="13"/>
      <c r="L25" s="13"/>
    </row>
    <row r="26" spans="1:12" x14ac:dyDescent="0.2">
      <c r="A26" s="163"/>
      <c r="E26" s="158"/>
      <c r="F26" s="133"/>
      <c r="G26" s="9"/>
      <c r="I26" s="9"/>
      <c r="J26" s="134"/>
      <c r="K26" s="13"/>
      <c r="L26" s="13"/>
    </row>
    <row r="27" spans="1:12" x14ac:dyDescent="0.2">
      <c r="A27" s="163"/>
      <c r="E27" s="158"/>
      <c r="F27" s="133"/>
      <c r="G27" s="9"/>
      <c r="I27" s="9"/>
      <c r="J27" s="134"/>
      <c r="K27" s="13"/>
      <c r="L27" s="13"/>
    </row>
    <row r="28" spans="1:12" x14ac:dyDescent="0.2">
      <c r="A28" s="163"/>
      <c r="E28" s="158"/>
      <c r="F28" s="133"/>
      <c r="G28" s="9"/>
      <c r="I28" s="9"/>
      <c r="J28" s="134"/>
      <c r="K28" s="13"/>
      <c r="L28" s="13"/>
    </row>
    <row r="29" spans="1:12" x14ac:dyDescent="0.2">
      <c r="A29" s="163"/>
      <c r="E29" s="158"/>
      <c r="F29" s="133"/>
      <c r="G29" s="9"/>
      <c r="I29" s="9"/>
      <c r="J29" s="134"/>
    </row>
    <row r="30" spans="1:12" x14ac:dyDescent="0.2">
      <c r="A30" s="163"/>
      <c r="E30" s="157"/>
      <c r="F30" s="9"/>
      <c r="G30" s="9"/>
      <c r="I30" s="9"/>
      <c r="J30" s="134"/>
    </row>
    <row r="31" spans="1:12" x14ac:dyDescent="0.2">
      <c r="A31" s="163"/>
      <c r="E31" s="157"/>
      <c r="F31" s="134"/>
      <c r="G31" s="134"/>
      <c r="I31" s="134"/>
      <c r="J31" s="134"/>
    </row>
    <row r="32" spans="1:12" x14ac:dyDescent="0.2">
      <c r="A32" s="163"/>
      <c r="E32" s="157"/>
      <c r="F32" s="134"/>
      <c r="G32" s="134"/>
      <c r="I32" s="134"/>
      <c r="J32" s="134"/>
    </row>
    <row r="33" spans="1:10" x14ac:dyDescent="0.2">
      <c r="A33" s="163"/>
      <c r="E33" s="157"/>
      <c r="F33" s="134"/>
      <c r="G33" s="134"/>
      <c r="I33" s="134"/>
      <c r="J33" s="134"/>
    </row>
    <row r="34" spans="1:10" x14ac:dyDescent="0.2">
      <c r="A34" s="163"/>
      <c r="E34" s="157"/>
      <c r="F34" s="13"/>
      <c r="G34" s="13"/>
      <c r="I34" s="13"/>
    </row>
    <row r="35" spans="1:10" x14ac:dyDescent="0.2">
      <c r="A35" s="163"/>
      <c r="E35" s="157"/>
      <c r="F35" s="13"/>
      <c r="G35" s="13"/>
      <c r="I35" s="13"/>
    </row>
    <row r="36" spans="1:10" x14ac:dyDescent="0.2">
      <c r="A36" s="163"/>
      <c r="E36" s="157"/>
      <c r="F36" s="13"/>
      <c r="G36" s="13"/>
      <c r="I36" s="13"/>
    </row>
    <row r="37" spans="1:10" x14ac:dyDescent="0.2">
      <c r="A37" s="163"/>
      <c r="E37" s="157"/>
      <c r="F37" s="13"/>
      <c r="G37" s="13"/>
      <c r="I37" s="13"/>
    </row>
    <row r="38" spans="1:10" x14ac:dyDescent="0.2">
      <c r="A38" s="163"/>
      <c r="E38" s="157"/>
      <c r="F38" s="13"/>
      <c r="G38" s="13"/>
      <c r="I38" s="13"/>
    </row>
    <row r="39" spans="1:10" x14ac:dyDescent="0.2">
      <c r="A39" s="163"/>
      <c r="E39" s="157"/>
      <c r="F39" s="13"/>
      <c r="G39" s="13"/>
      <c r="I39" s="13"/>
    </row>
    <row r="40" spans="1:10" x14ac:dyDescent="0.2">
      <c r="A40" s="163"/>
      <c r="E40" s="157"/>
      <c r="F40" s="13"/>
      <c r="G40" s="13"/>
      <c r="I40" s="13"/>
    </row>
    <row r="41" spans="1:10" x14ac:dyDescent="0.2">
      <c r="A41" s="163"/>
      <c r="E41" s="157"/>
      <c r="F41" s="13"/>
      <c r="G41" s="13"/>
      <c r="I41" s="13"/>
    </row>
    <row r="42" spans="1:10" x14ac:dyDescent="0.2">
      <c r="A42" s="163"/>
      <c r="E42" s="157"/>
      <c r="F42" s="13"/>
      <c r="G42" s="13"/>
      <c r="I42" s="13"/>
    </row>
    <row r="43" spans="1:10" x14ac:dyDescent="0.2">
      <c r="A43" s="163"/>
      <c r="E43" s="157"/>
      <c r="F43" s="13"/>
      <c r="G43" s="13"/>
      <c r="I43" s="13"/>
    </row>
    <row r="44" spans="1:10" x14ac:dyDescent="0.2">
      <c r="A44" s="163"/>
      <c r="E44" s="122"/>
      <c r="G44" s="122"/>
    </row>
    <row r="45" spans="1:10" x14ac:dyDescent="0.2">
      <c r="A45" s="163"/>
      <c r="E45" s="122"/>
      <c r="G45" s="122"/>
    </row>
    <row r="46" spans="1:10" x14ac:dyDescent="0.2">
      <c r="A46" s="163"/>
      <c r="E46" s="122"/>
      <c r="G46" s="122"/>
    </row>
    <row r="47" spans="1:10" x14ac:dyDescent="0.2">
      <c r="A47" s="163"/>
      <c r="E47" s="122"/>
      <c r="G47" s="122"/>
    </row>
    <row r="48" spans="1:10" x14ac:dyDescent="0.2">
      <c r="A48" s="163"/>
      <c r="E48" s="122"/>
      <c r="G48" s="122"/>
    </row>
    <row r="49" spans="1:7" x14ac:dyDescent="0.2">
      <c r="A49" s="163"/>
      <c r="E49" s="122"/>
      <c r="G49" s="122"/>
    </row>
    <row r="50" spans="1:7" x14ac:dyDescent="0.2">
      <c r="A50" s="163"/>
      <c r="E50" s="122"/>
      <c r="G50" s="122"/>
    </row>
    <row r="51" spans="1:7" x14ac:dyDescent="0.2">
      <c r="A51" s="164"/>
      <c r="E51" s="122"/>
      <c r="G51" s="122"/>
    </row>
    <row r="52" spans="1:7" x14ac:dyDescent="0.2">
      <c r="A52" s="164"/>
      <c r="E52" s="122"/>
      <c r="G52" s="122"/>
    </row>
    <row r="53" spans="1:7" x14ac:dyDescent="0.2">
      <c r="A53" s="164"/>
      <c r="E53" s="122"/>
      <c r="G53" s="122"/>
    </row>
    <row r="54" spans="1:7" x14ac:dyDescent="0.2">
      <c r="A54" s="164"/>
      <c r="E54" s="122"/>
      <c r="G54" s="122"/>
    </row>
    <row r="55" spans="1:7" x14ac:dyDescent="0.2">
      <c r="A55" s="164"/>
      <c r="E55" s="122"/>
      <c r="G55" s="122"/>
    </row>
    <row r="56" spans="1:7" x14ac:dyDescent="0.2">
      <c r="A56" s="164"/>
      <c r="E56" s="122"/>
      <c r="G56" s="122"/>
    </row>
    <row r="57" spans="1:7" x14ac:dyDescent="0.2">
      <c r="A57" s="164"/>
      <c r="E57" s="122"/>
      <c r="G57" s="122"/>
    </row>
    <row r="58" spans="1:7" x14ac:dyDescent="0.2">
      <c r="A58" s="164"/>
      <c r="E58" s="122"/>
      <c r="G58" s="122"/>
    </row>
    <row r="59" spans="1:7" x14ac:dyDescent="0.2">
      <c r="A59" s="164"/>
      <c r="E59" s="122"/>
      <c r="G59" s="122"/>
    </row>
    <row r="60" spans="1:7" x14ac:dyDescent="0.2">
      <c r="A60" s="164"/>
      <c r="E60" s="122"/>
      <c r="G60" s="122"/>
    </row>
    <row r="61" spans="1:7" x14ac:dyDescent="0.2">
      <c r="A61" s="164"/>
      <c r="E61" s="122"/>
      <c r="G61" s="122"/>
    </row>
    <row r="62" spans="1:7" x14ac:dyDescent="0.2">
      <c r="A62" s="164"/>
      <c r="E62" s="122"/>
      <c r="G62" s="122"/>
    </row>
    <row r="63" spans="1:7" x14ac:dyDescent="0.2">
      <c r="A63" s="164"/>
      <c r="E63" s="122"/>
      <c r="G63" s="122"/>
    </row>
    <row r="64" spans="1:7" x14ac:dyDescent="0.2">
      <c r="A64" s="164"/>
      <c r="E64" s="122"/>
      <c r="G64" s="122"/>
    </row>
    <row r="65" spans="1:7" x14ac:dyDescent="0.2">
      <c r="A65" s="164"/>
      <c r="E65" s="122"/>
      <c r="G65" s="122"/>
    </row>
    <row r="66" spans="1:7" x14ac:dyDescent="0.2">
      <c r="A66" s="164"/>
      <c r="E66" s="122"/>
      <c r="G66" s="122"/>
    </row>
    <row r="67" spans="1:7" x14ac:dyDescent="0.2">
      <c r="A67" s="164"/>
      <c r="E67" s="122"/>
      <c r="G67" s="122"/>
    </row>
    <row r="68" spans="1:7" x14ac:dyDescent="0.2">
      <c r="A68" s="164"/>
      <c r="E68" s="122"/>
      <c r="G68" s="122"/>
    </row>
    <row r="69" spans="1:7" x14ac:dyDescent="0.2">
      <c r="A69" s="164"/>
      <c r="E69" s="122"/>
      <c r="G69" s="122"/>
    </row>
    <row r="70" spans="1:7" x14ac:dyDescent="0.2">
      <c r="A70" s="164"/>
      <c r="E70" s="122"/>
      <c r="G70" s="122"/>
    </row>
    <row r="71" spans="1:7" x14ac:dyDescent="0.2">
      <c r="A71" s="164"/>
      <c r="E71" s="122"/>
      <c r="G71" s="122"/>
    </row>
    <row r="72" spans="1:7" x14ac:dyDescent="0.2">
      <c r="A72" s="164"/>
      <c r="E72" s="122"/>
      <c r="G72" s="122"/>
    </row>
    <row r="73" spans="1:7" x14ac:dyDescent="0.2">
      <c r="A73" s="164"/>
      <c r="E73" s="122"/>
      <c r="G73" s="122"/>
    </row>
    <row r="74" spans="1:7" x14ac:dyDescent="0.2">
      <c r="A74" s="164"/>
      <c r="E74" s="122"/>
      <c r="G74" s="122"/>
    </row>
    <row r="75" spans="1:7" x14ac:dyDescent="0.2">
      <c r="A75" s="164"/>
      <c r="E75" s="122"/>
      <c r="G75" s="122"/>
    </row>
    <row r="76" spans="1:7" x14ac:dyDescent="0.2">
      <c r="A76" s="164"/>
      <c r="E76" s="122"/>
      <c r="G76" s="122"/>
    </row>
    <row r="77" spans="1:7" x14ac:dyDescent="0.2">
      <c r="A77" s="164"/>
      <c r="E77" s="122"/>
      <c r="G77" s="122"/>
    </row>
    <row r="78" spans="1:7" x14ac:dyDescent="0.2">
      <c r="A78" s="164"/>
      <c r="E78" s="122"/>
      <c r="G78" s="122"/>
    </row>
    <row r="79" spans="1:7" x14ac:dyDescent="0.2">
      <c r="A79" s="164"/>
      <c r="E79" s="122"/>
      <c r="G79" s="122"/>
    </row>
    <row r="80" spans="1:7" x14ac:dyDescent="0.2">
      <c r="A80" s="164"/>
      <c r="E80" s="122"/>
      <c r="G80" s="122"/>
    </row>
    <row r="81" spans="1:7" x14ac:dyDescent="0.2">
      <c r="A81" s="164"/>
      <c r="E81" s="122"/>
      <c r="G81" s="122"/>
    </row>
    <row r="82" spans="1:7" x14ac:dyDescent="0.2">
      <c r="A82" s="164"/>
      <c r="E82" s="122"/>
      <c r="G82" s="122"/>
    </row>
    <row r="83" spans="1:7" x14ac:dyDescent="0.2">
      <c r="A83" s="164"/>
      <c r="E83" s="122"/>
      <c r="G83" s="122"/>
    </row>
    <row r="84" spans="1:7" x14ac:dyDescent="0.2">
      <c r="A84" s="164"/>
      <c r="E84" s="122"/>
      <c r="G84" s="122"/>
    </row>
    <row r="85" spans="1:7" x14ac:dyDescent="0.2">
      <c r="A85" s="164"/>
      <c r="E85" s="122"/>
      <c r="G85" s="122"/>
    </row>
    <row r="86" spans="1:7" x14ac:dyDescent="0.2">
      <c r="A86" s="164"/>
      <c r="E86" s="122"/>
      <c r="G86" s="122"/>
    </row>
    <row r="87" spans="1:7" x14ac:dyDescent="0.2">
      <c r="A87" s="164"/>
      <c r="E87" s="122"/>
      <c r="G87" s="122"/>
    </row>
    <row r="88" spans="1:7" x14ac:dyDescent="0.2">
      <c r="A88" s="164"/>
      <c r="E88" s="122"/>
      <c r="G88" s="122"/>
    </row>
    <row r="89" spans="1:7" x14ac:dyDescent="0.2">
      <c r="A89" s="164"/>
      <c r="E89" s="122"/>
      <c r="G89" s="122"/>
    </row>
    <row r="90" spans="1:7" x14ac:dyDescent="0.2">
      <c r="A90" s="164"/>
      <c r="E90" s="122"/>
      <c r="G90" s="122"/>
    </row>
    <row r="91" spans="1:7" x14ac:dyDescent="0.2">
      <c r="A91" s="164"/>
      <c r="E91" s="122"/>
      <c r="G91" s="122"/>
    </row>
    <row r="92" spans="1:7" x14ac:dyDescent="0.2">
      <c r="A92" s="164"/>
      <c r="E92" s="122"/>
      <c r="G92" s="122"/>
    </row>
    <row r="93" spans="1:7" x14ac:dyDescent="0.2">
      <c r="A93" s="164"/>
      <c r="E93" s="122"/>
      <c r="G93" s="122"/>
    </row>
    <row r="94" spans="1:7" x14ac:dyDescent="0.2">
      <c r="A94" s="164"/>
      <c r="E94" s="122"/>
      <c r="G94" s="122"/>
    </row>
    <row r="95" spans="1:7" x14ac:dyDescent="0.2">
      <c r="A95" s="164"/>
      <c r="E95" s="122"/>
      <c r="G95" s="122"/>
    </row>
    <row r="96" spans="1:7" x14ac:dyDescent="0.2">
      <c r="A96" s="164"/>
      <c r="E96" s="122"/>
      <c r="G96" s="122"/>
    </row>
    <row r="97" spans="1:7" x14ac:dyDescent="0.2">
      <c r="A97" s="164"/>
      <c r="E97" s="122"/>
      <c r="G97" s="122"/>
    </row>
    <row r="98" spans="1:7" x14ac:dyDescent="0.2">
      <c r="A98" s="164"/>
      <c r="E98" s="122"/>
      <c r="G98" s="122"/>
    </row>
    <row r="99" spans="1:7" x14ac:dyDescent="0.2">
      <c r="A99" s="164"/>
      <c r="E99" s="122"/>
      <c r="G99" s="122"/>
    </row>
    <row r="100" spans="1:7" x14ac:dyDescent="0.2">
      <c r="A100" s="164"/>
      <c r="E100" s="122"/>
      <c r="G100" s="122"/>
    </row>
    <row r="101" spans="1:7" x14ac:dyDescent="0.2">
      <c r="A101" s="164"/>
      <c r="E101" s="122"/>
      <c r="G101" s="122"/>
    </row>
    <row r="102" spans="1:7" x14ac:dyDescent="0.2">
      <c r="A102" s="164"/>
      <c r="E102" s="122"/>
      <c r="G102" s="122"/>
    </row>
    <row r="103" spans="1:7" x14ac:dyDescent="0.2">
      <c r="A103" s="164"/>
      <c r="E103" s="122"/>
      <c r="G103" s="122"/>
    </row>
    <row r="104" spans="1:7" x14ac:dyDescent="0.2">
      <c r="A104" s="164"/>
      <c r="E104" s="122"/>
      <c r="G104" s="122"/>
    </row>
    <row r="105" spans="1:7" x14ac:dyDescent="0.2">
      <c r="A105" s="164"/>
      <c r="E105" s="122"/>
      <c r="G105" s="122"/>
    </row>
    <row r="106" spans="1:7" x14ac:dyDescent="0.2">
      <c r="A106" s="164"/>
      <c r="E106" s="122"/>
      <c r="G106" s="122"/>
    </row>
    <row r="107" spans="1:7" x14ac:dyDescent="0.2">
      <c r="A107" s="164"/>
      <c r="E107" s="122"/>
      <c r="G107" s="122"/>
    </row>
    <row r="108" spans="1:7" x14ac:dyDescent="0.2">
      <c r="A108" s="164"/>
      <c r="E108" s="122"/>
      <c r="G108" s="122"/>
    </row>
    <row r="109" spans="1:7" x14ac:dyDescent="0.2">
      <c r="A109" s="164"/>
      <c r="E109" s="122"/>
      <c r="G109" s="122"/>
    </row>
    <row r="110" spans="1:7" x14ac:dyDescent="0.2">
      <c r="A110" s="164"/>
      <c r="E110" s="122"/>
      <c r="G110" s="122"/>
    </row>
    <row r="111" spans="1:7" x14ac:dyDescent="0.2">
      <c r="A111" s="164"/>
      <c r="E111" s="122"/>
      <c r="G111" s="122"/>
    </row>
    <row r="112" spans="1:7" x14ac:dyDescent="0.2">
      <c r="A112" s="164"/>
      <c r="E112" s="122"/>
      <c r="G112" s="122"/>
    </row>
    <row r="113" spans="1:7" x14ac:dyDescent="0.2">
      <c r="A113" s="164"/>
      <c r="E113" s="122"/>
      <c r="G113" s="122"/>
    </row>
    <row r="114" spans="1:7" x14ac:dyDescent="0.2">
      <c r="A114" s="164"/>
      <c r="E114" s="122"/>
      <c r="G114" s="122"/>
    </row>
    <row r="115" spans="1:7" x14ac:dyDescent="0.2">
      <c r="A115" s="164"/>
      <c r="E115" s="122"/>
      <c r="G115" s="122"/>
    </row>
    <row r="116" spans="1:7" x14ac:dyDescent="0.2">
      <c r="A116" s="164"/>
      <c r="E116" s="122"/>
      <c r="G116" s="122"/>
    </row>
    <row r="117" spans="1:7" x14ac:dyDescent="0.2">
      <c r="A117" s="164"/>
      <c r="E117" s="122"/>
      <c r="G117" s="122"/>
    </row>
    <row r="118" spans="1:7" x14ac:dyDescent="0.2">
      <c r="A118" s="164"/>
      <c r="E118" s="122"/>
      <c r="G118" s="122"/>
    </row>
    <row r="119" spans="1:7" x14ac:dyDescent="0.2">
      <c r="A119" s="164"/>
      <c r="E119" s="122"/>
      <c r="G119" s="122"/>
    </row>
    <row r="120" spans="1:7" x14ac:dyDescent="0.2">
      <c r="A120" s="164"/>
      <c r="E120" s="122"/>
      <c r="G120" s="122"/>
    </row>
    <row r="121" spans="1:7" x14ac:dyDescent="0.2">
      <c r="A121" s="164"/>
      <c r="E121" s="122"/>
      <c r="G121" s="122"/>
    </row>
    <row r="122" spans="1:7" x14ac:dyDescent="0.2">
      <c r="A122" s="164"/>
      <c r="E122" s="122"/>
      <c r="G122" s="122"/>
    </row>
    <row r="123" spans="1:7" x14ac:dyDescent="0.2">
      <c r="A123" s="164"/>
      <c r="E123" s="122"/>
      <c r="G123" s="122"/>
    </row>
    <row r="124" spans="1:7" x14ac:dyDescent="0.2">
      <c r="A124" s="164"/>
      <c r="E124" s="122"/>
      <c r="G124" s="122"/>
    </row>
    <row r="125" spans="1:7" x14ac:dyDescent="0.2">
      <c r="A125" s="164"/>
      <c r="E125" s="122"/>
      <c r="G125" s="122"/>
    </row>
    <row r="126" spans="1:7" x14ac:dyDescent="0.2">
      <c r="A126" s="164"/>
      <c r="E126" s="122"/>
      <c r="G126" s="122"/>
    </row>
    <row r="127" spans="1:7" x14ac:dyDescent="0.2">
      <c r="A127" s="164"/>
      <c r="E127" s="122"/>
      <c r="G127" s="122"/>
    </row>
    <row r="128" spans="1:7" x14ac:dyDescent="0.2">
      <c r="A128" s="164"/>
      <c r="E128" s="122"/>
      <c r="G128" s="122"/>
    </row>
    <row r="129" spans="1:7" x14ac:dyDescent="0.2">
      <c r="A129" s="164"/>
      <c r="E129" s="122"/>
      <c r="G129" s="122"/>
    </row>
    <row r="130" spans="1:7" x14ac:dyDescent="0.2">
      <c r="A130" s="164"/>
      <c r="E130" s="122"/>
      <c r="G130" s="122"/>
    </row>
    <row r="131" spans="1:7" x14ac:dyDescent="0.2">
      <c r="A131" s="164"/>
      <c r="E131" s="122"/>
    </row>
    <row r="132" spans="1:7" x14ac:dyDescent="0.2">
      <c r="A132" s="164"/>
      <c r="E132" s="122"/>
      <c r="G132" s="122"/>
    </row>
    <row r="133" spans="1:7" x14ac:dyDescent="0.2">
      <c r="A133" s="164"/>
      <c r="E133" s="122"/>
      <c r="G133" s="122"/>
    </row>
    <row r="134" spans="1:7" x14ac:dyDescent="0.2">
      <c r="A134" s="164"/>
      <c r="E134" s="122"/>
      <c r="G134" s="122"/>
    </row>
    <row r="135" spans="1:7" x14ac:dyDescent="0.2">
      <c r="A135" s="164"/>
      <c r="E135" s="122"/>
      <c r="G135" s="122"/>
    </row>
    <row r="136" spans="1:7" x14ac:dyDescent="0.2">
      <c r="A136" s="164"/>
      <c r="E136" s="122"/>
      <c r="G136" s="122"/>
    </row>
    <row r="137" spans="1:7" x14ac:dyDescent="0.2">
      <c r="A137" s="164"/>
      <c r="E137" s="122"/>
      <c r="G137" s="122"/>
    </row>
    <row r="138" spans="1:7" x14ac:dyDescent="0.2">
      <c r="A138" s="164"/>
      <c r="E138" s="122"/>
      <c r="G138" s="122"/>
    </row>
    <row r="139" spans="1:7" x14ac:dyDescent="0.2">
      <c r="A139" s="164"/>
      <c r="E139" s="122"/>
      <c r="G139" s="122"/>
    </row>
    <row r="140" spans="1:7" x14ac:dyDescent="0.2">
      <c r="A140" s="164"/>
      <c r="E140" s="122"/>
      <c r="G140" s="122"/>
    </row>
    <row r="141" spans="1:7" x14ac:dyDescent="0.2">
      <c r="A141" s="164"/>
      <c r="E141" s="122"/>
      <c r="G141" s="122"/>
    </row>
    <row r="142" spans="1:7" x14ac:dyDescent="0.2">
      <c r="A142" s="164"/>
      <c r="E142" s="122"/>
      <c r="G142" s="122"/>
    </row>
    <row r="143" spans="1:7" x14ac:dyDescent="0.2">
      <c r="A143" s="164"/>
      <c r="E143" s="122"/>
      <c r="G143" s="122"/>
    </row>
    <row r="144" spans="1:7" x14ac:dyDescent="0.2">
      <c r="A144" s="164"/>
      <c r="E144" s="122"/>
      <c r="G144" s="122"/>
    </row>
    <row r="145" spans="1:7" x14ac:dyDescent="0.2">
      <c r="A145" s="164"/>
      <c r="E145" s="122"/>
      <c r="G145" s="122"/>
    </row>
    <row r="146" spans="1:7" x14ac:dyDescent="0.2">
      <c r="A146" s="164"/>
      <c r="E146" s="122"/>
      <c r="G146" s="122"/>
    </row>
    <row r="147" spans="1:7" x14ac:dyDescent="0.2">
      <c r="A147" s="164"/>
      <c r="E147" s="122"/>
      <c r="G147" s="122"/>
    </row>
    <row r="148" spans="1:7" x14ac:dyDescent="0.2">
      <c r="A148" s="164"/>
      <c r="E148" s="122"/>
      <c r="G148" s="122"/>
    </row>
    <row r="149" spans="1:7" x14ac:dyDescent="0.2">
      <c r="A149" s="164"/>
      <c r="E149" s="122"/>
      <c r="G149" s="122"/>
    </row>
    <row r="150" spans="1:7" x14ac:dyDescent="0.2">
      <c r="A150" s="164"/>
      <c r="E150" s="122"/>
      <c r="G150" s="122"/>
    </row>
    <row r="151" spans="1:7" x14ac:dyDescent="0.2">
      <c r="A151" s="164"/>
      <c r="E151" s="122"/>
      <c r="G151" s="122"/>
    </row>
    <row r="152" spans="1:7" x14ac:dyDescent="0.2">
      <c r="A152" s="164"/>
      <c r="E152" s="122"/>
      <c r="G152" s="122"/>
    </row>
    <row r="153" spans="1:7" x14ac:dyDescent="0.2">
      <c r="A153" s="164"/>
      <c r="E153" s="122"/>
      <c r="G153" s="122"/>
    </row>
    <row r="154" spans="1:7" x14ac:dyDescent="0.2">
      <c r="A154" s="164"/>
      <c r="E154" s="122"/>
      <c r="G154" s="122"/>
    </row>
    <row r="155" spans="1:7" x14ac:dyDescent="0.2">
      <c r="A155" s="164"/>
      <c r="E155" s="122"/>
      <c r="G155" s="122"/>
    </row>
    <row r="156" spans="1:7" x14ac:dyDescent="0.2">
      <c r="A156" s="164"/>
      <c r="E156" s="122"/>
      <c r="G156" s="122"/>
    </row>
    <row r="157" spans="1:7" x14ac:dyDescent="0.2">
      <c r="A157" s="164"/>
      <c r="E157" s="122"/>
      <c r="G157" s="122"/>
    </row>
    <row r="158" spans="1:7" x14ac:dyDescent="0.2">
      <c r="A158" s="164"/>
      <c r="E158" s="122"/>
    </row>
    <row r="159" spans="1:7" x14ac:dyDescent="0.2">
      <c r="A159" s="164"/>
      <c r="E159" s="122"/>
      <c r="G159" s="122"/>
    </row>
    <row r="160" spans="1:7" x14ac:dyDescent="0.2">
      <c r="A160" s="164"/>
      <c r="E160" s="122"/>
      <c r="G160" s="122"/>
    </row>
    <row r="161" spans="1:7" x14ac:dyDescent="0.2">
      <c r="A161" s="164"/>
      <c r="E161" s="122"/>
      <c r="G161" s="122"/>
    </row>
    <row r="162" spans="1:7" x14ac:dyDescent="0.2">
      <c r="A162" s="164"/>
      <c r="E162" s="122"/>
      <c r="G162" s="122"/>
    </row>
    <row r="163" spans="1:7" x14ac:dyDescent="0.2">
      <c r="A163" s="164"/>
      <c r="E163" s="122"/>
      <c r="G163" s="122"/>
    </row>
    <row r="164" spans="1:7" x14ac:dyDescent="0.2">
      <c r="A164" s="164"/>
      <c r="E164" s="122"/>
      <c r="G164" s="122"/>
    </row>
    <row r="165" spans="1:7" x14ac:dyDescent="0.2">
      <c r="A165" s="164"/>
      <c r="E165" s="122"/>
      <c r="G165" s="122"/>
    </row>
    <row r="166" spans="1:7" x14ac:dyDescent="0.2">
      <c r="A166" s="164"/>
      <c r="E166" s="122"/>
      <c r="G166" s="122"/>
    </row>
    <row r="167" spans="1:7" x14ac:dyDescent="0.2">
      <c r="A167" s="164"/>
      <c r="E167" s="122"/>
      <c r="G167" s="122"/>
    </row>
    <row r="168" spans="1:7" x14ac:dyDescent="0.2">
      <c r="A168" s="164"/>
      <c r="E168" s="122"/>
    </row>
    <row r="169" spans="1:7" x14ac:dyDescent="0.2">
      <c r="A169" s="164"/>
      <c r="E169" s="122"/>
      <c r="G169" s="122"/>
    </row>
    <row r="170" spans="1:7" x14ac:dyDescent="0.2">
      <c r="A170" s="164"/>
      <c r="E170" s="122"/>
      <c r="G170" s="122"/>
    </row>
    <row r="171" spans="1:7" x14ac:dyDescent="0.2">
      <c r="A171" s="164"/>
      <c r="E171" s="122"/>
      <c r="G171" s="122"/>
    </row>
    <row r="172" spans="1:7" x14ac:dyDescent="0.2">
      <c r="A172" s="164"/>
      <c r="E172" s="122"/>
      <c r="G172" s="122"/>
    </row>
    <row r="173" spans="1:7" x14ac:dyDescent="0.2">
      <c r="A173" s="164"/>
      <c r="E173" s="122"/>
      <c r="G173" s="122"/>
    </row>
    <row r="174" spans="1:7" x14ac:dyDescent="0.2">
      <c r="A174" s="164"/>
      <c r="E174" s="122"/>
      <c r="G174" s="122"/>
    </row>
    <row r="175" spans="1:7" x14ac:dyDescent="0.2">
      <c r="A175" s="164"/>
      <c r="E175" s="122"/>
      <c r="G175" s="122"/>
    </row>
    <row r="176" spans="1:7" x14ac:dyDescent="0.2">
      <c r="A176" s="164"/>
      <c r="E176" s="122"/>
      <c r="G176" s="122"/>
    </row>
    <row r="177" spans="1:7" x14ac:dyDescent="0.2">
      <c r="A177" s="164"/>
      <c r="E177" s="122"/>
      <c r="G177" s="122"/>
    </row>
    <row r="178" spans="1:7" x14ac:dyDescent="0.2">
      <c r="A178" s="164"/>
      <c r="E178" s="122"/>
      <c r="G178" s="122"/>
    </row>
    <row r="179" spans="1:7" x14ac:dyDescent="0.2">
      <c r="A179" s="164"/>
      <c r="E179" s="122"/>
      <c r="G179" s="122"/>
    </row>
    <row r="180" spans="1:7" x14ac:dyDescent="0.2">
      <c r="A180" s="164"/>
      <c r="E180" s="122"/>
      <c r="G180" s="122"/>
    </row>
    <row r="181" spans="1:7" x14ac:dyDescent="0.2">
      <c r="A181" s="164"/>
      <c r="E181" s="122"/>
      <c r="G181" s="122"/>
    </row>
    <row r="182" spans="1:7" x14ac:dyDescent="0.2">
      <c r="A182" s="164"/>
      <c r="E182" s="122"/>
      <c r="G182" s="122"/>
    </row>
    <row r="183" spans="1:7" x14ac:dyDescent="0.2">
      <c r="A183" s="164"/>
      <c r="E183" s="122"/>
      <c r="G183" s="122"/>
    </row>
    <row r="184" spans="1:7" x14ac:dyDescent="0.2">
      <c r="A184" s="164"/>
      <c r="E184" s="122"/>
      <c r="G184" s="122"/>
    </row>
    <row r="185" spans="1:7" x14ac:dyDescent="0.2">
      <c r="A185" s="164"/>
      <c r="E185" s="122"/>
      <c r="G185" s="122"/>
    </row>
    <row r="186" spans="1:7" x14ac:dyDescent="0.2">
      <c r="A186" s="164"/>
      <c r="E186" s="122"/>
      <c r="G186" s="122"/>
    </row>
    <row r="187" spans="1:7" x14ac:dyDescent="0.2">
      <c r="A187" s="164"/>
      <c r="E187" s="122"/>
      <c r="G187" s="122"/>
    </row>
    <row r="188" spans="1:7" x14ac:dyDescent="0.2">
      <c r="A188" s="164"/>
      <c r="E188" s="122"/>
      <c r="G188" s="122"/>
    </row>
    <row r="189" spans="1:7" x14ac:dyDescent="0.2">
      <c r="A189" s="164"/>
      <c r="E189" s="122"/>
      <c r="G189" s="122"/>
    </row>
    <row r="190" spans="1:7" x14ac:dyDescent="0.2">
      <c r="A190" s="164"/>
      <c r="E190" s="122"/>
      <c r="G190" s="122"/>
    </row>
    <row r="191" spans="1:7" x14ac:dyDescent="0.2">
      <c r="A191" s="164"/>
      <c r="E191" s="122"/>
      <c r="G191" s="122"/>
    </row>
    <row r="192" spans="1:7" x14ac:dyDescent="0.2">
      <c r="A192" s="164"/>
      <c r="E192" s="122"/>
      <c r="G192" s="122"/>
    </row>
    <row r="193" spans="1:7" x14ac:dyDescent="0.2">
      <c r="A193" s="164"/>
      <c r="E193" s="122"/>
      <c r="G193" s="122"/>
    </row>
    <row r="194" spans="1:7" x14ac:dyDescent="0.2">
      <c r="A194" s="164"/>
      <c r="E194" s="122"/>
      <c r="G194" s="122"/>
    </row>
    <row r="195" spans="1:7" x14ac:dyDescent="0.2">
      <c r="A195" s="164"/>
      <c r="E195" s="122"/>
      <c r="G195" s="122"/>
    </row>
    <row r="196" spans="1:7" x14ac:dyDescent="0.2">
      <c r="A196" s="164"/>
      <c r="E196" s="122"/>
      <c r="G196" s="122"/>
    </row>
    <row r="197" spans="1:7" x14ac:dyDescent="0.2">
      <c r="A197" s="164"/>
      <c r="E197" s="122"/>
      <c r="G197" s="122"/>
    </row>
    <row r="198" spans="1:7" x14ac:dyDescent="0.2">
      <c r="A198" s="164"/>
      <c r="E198" s="122"/>
      <c r="G198" s="122"/>
    </row>
    <row r="199" spans="1:7" x14ac:dyDescent="0.2">
      <c r="A199" s="164"/>
      <c r="E199" s="122"/>
      <c r="G199" s="122"/>
    </row>
    <row r="200" spans="1:7" x14ac:dyDescent="0.2">
      <c r="A200" s="164"/>
      <c r="E200" s="122"/>
      <c r="G200" s="122"/>
    </row>
    <row r="201" spans="1:7" x14ac:dyDescent="0.2">
      <c r="A201" s="164"/>
      <c r="E201" s="122"/>
      <c r="G201" s="122"/>
    </row>
    <row r="202" spans="1:7" x14ac:dyDescent="0.2">
      <c r="A202" s="164"/>
      <c r="E202" s="122"/>
      <c r="G202" s="122"/>
    </row>
    <row r="203" spans="1:7" x14ac:dyDescent="0.2">
      <c r="A203" s="164"/>
      <c r="E203" s="122"/>
      <c r="G203" s="122"/>
    </row>
    <row r="204" spans="1:7" x14ac:dyDescent="0.2">
      <c r="A204" s="164"/>
      <c r="E204" s="122"/>
      <c r="G204" s="122"/>
    </row>
    <row r="205" spans="1:7" x14ac:dyDescent="0.2">
      <c r="A205" s="164"/>
      <c r="E205" s="122"/>
      <c r="G205" s="122"/>
    </row>
    <row r="206" spans="1:7" x14ac:dyDescent="0.2">
      <c r="A206" s="164"/>
      <c r="E206" s="122"/>
      <c r="G206" s="122"/>
    </row>
    <row r="207" spans="1:7" x14ac:dyDescent="0.2">
      <c r="A207" s="164"/>
      <c r="E207" s="122"/>
      <c r="G207" s="122"/>
    </row>
    <row r="208" spans="1:7" x14ac:dyDescent="0.2">
      <c r="A208" s="164"/>
      <c r="E208" s="122"/>
      <c r="G208" s="122"/>
    </row>
    <row r="209" spans="1:7" x14ac:dyDescent="0.2">
      <c r="A209" s="164"/>
      <c r="E209" s="122"/>
      <c r="G209" s="122"/>
    </row>
    <row r="210" spans="1:7" x14ac:dyDescent="0.2">
      <c r="A210" s="164"/>
      <c r="E210" s="122"/>
      <c r="G210" s="122"/>
    </row>
    <row r="211" spans="1:7" x14ac:dyDescent="0.2">
      <c r="A211" s="164"/>
      <c r="E211" s="122"/>
      <c r="G211" s="122"/>
    </row>
    <row r="212" spans="1:7" x14ac:dyDescent="0.2">
      <c r="A212" s="164"/>
      <c r="E212" s="122"/>
      <c r="G212" s="122"/>
    </row>
    <row r="213" spans="1:7" x14ac:dyDescent="0.2">
      <c r="A213" s="164"/>
      <c r="E213" s="122"/>
      <c r="G213" s="122"/>
    </row>
    <row r="214" spans="1:7" x14ac:dyDescent="0.2">
      <c r="A214" s="164"/>
      <c r="E214" s="122"/>
      <c r="G214" s="122"/>
    </row>
    <row r="215" spans="1:7" x14ac:dyDescent="0.2">
      <c r="A215" s="164"/>
      <c r="E215" s="122"/>
    </row>
    <row r="216" spans="1:7" x14ac:dyDescent="0.2">
      <c r="A216" s="164"/>
      <c r="E216" s="122"/>
    </row>
    <row r="217" spans="1:7" x14ac:dyDescent="0.2">
      <c r="A217" s="164"/>
      <c r="E217" s="122"/>
    </row>
    <row r="218" spans="1:7" x14ac:dyDescent="0.2">
      <c r="A218" s="164"/>
      <c r="E218" s="122"/>
    </row>
    <row r="219" spans="1:7" x14ac:dyDescent="0.2">
      <c r="A219" s="164"/>
      <c r="E219" s="158"/>
    </row>
    <row r="220" spans="1:7" x14ac:dyDescent="0.2">
      <c r="A220" s="164"/>
      <c r="E220" s="158"/>
    </row>
    <row r="221" spans="1:7" x14ac:dyDescent="0.2">
      <c r="A221" s="164"/>
      <c r="E221" s="158"/>
    </row>
    <row r="222" spans="1:7" x14ac:dyDescent="0.2">
      <c r="A222" s="164"/>
      <c r="E222" s="158"/>
    </row>
    <row r="223" spans="1:7" x14ac:dyDescent="0.2">
      <c r="A223" s="164"/>
      <c r="E223" s="158"/>
    </row>
    <row r="224" spans="1:7" x14ac:dyDescent="0.2">
      <c r="A224" s="164"/>
      <c r="E224" s="158"/>
    </row>
    <row r="225" spans="1:5" x14ac:dyDescent="0.2">
      <c r="A225" s="164"/>
      <c r="E225" s="158"/>
    </row>
    <row r="226" spans="1:5" x14ac:dyDescent="0.2">
      <c r="A226" s="164"/>
      <c r="E226" s="158"/>
    </row>
    <row r="227" spans="1:5" x14ac:dyDescent="0.2">
      <c r="A227" s="164"/>
      <c r="E227" s="158"/>
    </row>
    <row r="228" spans="1:5" x14ac:dyDescent="0.2">
      <c r="A228" s="164"/>
      <c r="E228" s="158"/>
    </row>
    <row r="229" spans="1:5" x14ac:dyDescent="0.2">
      <c r="A229" s="164"/>
      <c r="E229" s="158"/>
    </row>
    <row r="230" spans="1:5" x14ac:dyDescent="0.2">
      <c r="A230" s="164"/>
      <c r="E230" s="158"/>
    </row>
    <row r="231" spans="1:5" x14ac:dyDescent="0.2">
      <c r="A231" s="164"/>
      <c r="E231" s="158"/>
    </row>
    <row r="232" spans="1:5" x14ac:dyDescent="0.2">
      <c r="A232" s="164"/>
      <c r="E232" s="158"/>
    </row>
    <row r="233" spans="1:5" x14ac:dyDescent="0.2">
      <c r="A233" s="164"/>
      <c r="E233" s="158"/>
    </row>
    <row r="234" spans="1:5" x14ac:dyDescent="0.2">
      <c r="A234" s="164"/>
      <c r="E234" s="158"/>
    </row>
    <row r="235" spans="1:5" x14ac:dyDescent="0.2">
      <c r="A235" s="164"/>
      <c r="E235" s="158"/>
    </row>
    <row r="236" spans="1:5" x14ac:dyDescent="0.2">
      <c r="A236" s="164"/>
      <c r="E236" s="158"/>
    </row>
    <row r="237" spans="1:5" x14ac:dyDescent="0.2">
      <c r="A237" s="164"/>
      <c r="E237" s="158"/>
    </row>
    <row r="238" spans="1:5" x14ac:dyDescent="0.2">
      <c r="A238" s="164"/>
      <c r="E238" s="158"/>
    </row>
    <row r="239" spans="1:5" x14ac:dyDescent="0.2">
      <c r="A239" s="164"/>
      <c r="E239" s="158"/>
    </row>
    <row r="240" spans="1:5" x14ac:dyDescent="0.2">
      <c r="A240" s="164"/>
      <c r="E240" s="158"/>
    </row>
    <row r="241" spans="1:5" x14ac:dyDescent="0.2">
      <c r="A241" s="164"/>
      <c r="E241" s="158"/>
    </row>
    <row r="242" spans="1:5" x14ac:dyDescent="0.2">
      <c r="A242" s="164"/>
      <c r="E242" s="158"/>
    </row>
    <row r="243" spans="1:5" x14ac:dyDescent="0.2">
      <c r="A243" s="164"/>
      <c r="E243" s="158"/>
    </row>
    <row r="244" spans="1:5" x14ac:dyDescent="0.2">
      <c r="A244" s="164"/>
      <c r="E244" s="158"/>
    </row>
    <row r="245" spans="1:5" x14ac:dyDescent="0.2">
      <c r="A245" s="164"/>
      <c r="E245" s="158"/>
    </row>
    <row r="246" spans="1:5" x14ac:dyDescent="0.2">
      <c r="A246" s="164"/>
      <c r="E246" s="158"/>
    </row>
    <row r="247" spans="1:5" x14ac:dyDescent="0.2">
      <c r="A247" s="164"/>
      <c r="E247" s="158"/>
    </row>
    <row r="248" spans="1:5" x14ac:dyDescent="0.2">
      <c r="A248" s="164"/>
      <c r="E248" s="158"/>
    </row>
    <row r="249" spans="1:5" x14ac:dyDescent="0.2">
      <c r="A249" s="164"/>
      <c r="E249" s="158"/>
    </row>
    <row r="250" spans="1:5" x14ac:dyDescent="0.2">
      <c r="A250" s="164"/>
      <c r="E250" s="158"/>
    </row>
    <row r="251" spans="1:5" x14ac:dyDescent="0.2">
      <c r="A251" s="164"/>
      <c r="E251" s="158"/>
    </row>
    <row r="252" spans="1:5" x14ac:dyDescent="0.2">
      <c r="A252" s="164"/>
      <c r="E252" s="158"/>
    </row>
    <row r="253" spans="1:5" x14ac:dyDescent="0.2">
      <c r="A253" s="164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229"/>
  <sheetViews>
    <sheetView zoomScale="110" zoomScaleNormal="110" workbookViewId="0"/>
  </sheetViews>
  <sheetFormatPr defaultRowHeight="12.75" x14ac:dyDescent="0.2"/>
  <cols>
    <col min="1" max="1" width="10.5703125" customWidth="1"/>
    <col min="2" max="4" width="8.7109375" customWidth="1"/>
    <col min="5" max="10" width="10.5703125" customWidth="1"/>
  </cols>
  <sheetData>
    <row r="1" spans="1:7" ht="14.25" x14ac:dyDescent="0.2">
      <c r="A1" s="136" t="s">
        <v>170</v>
      </c>
      <c r="B1" s="139"/>
      <c r="C1" s="153"/>
      <c r="D1" s="153"/>
      <c r="E1" s="137"/>
      <c r="G1" s="13"/>
    </row>
    <row r="2" spans="1:7" x14ac:dyDescent="0.2">
      <c r="A2" s="139" t="s">
        <v>171</v>
      </c>
      <c r="B2" s="139" t="s">
        <v>27</v>
      </c>
      <c r="C2" s="153" t="s">
        <v>172</v>
      </c>
      <c r="D2" s="153"/>
      <c r="E2" s="137"/>
      <c r="G2" s="13"/>
    </row>
    <row r="3" spans="1:7" x14ac:dyDescent="0.2">
      <c r="C3" s="128"/>
      <c r="D3" s="128"/>
      <c r="E3" s="137"/>
      <c r="G3" s="13"/>
    </row>
    <row r="4" spans="1:7" ht="14.25" x14ac:dyDescent="0.2">
      <c r="A4" s="36" t="s">
        <v>54</v>
      </c>
      <c r="B4" s="166">
        <v>9.19</v>
      </c>
      <c r="C4" s="166">
        <v>14.981999999999999</v>
      </c>
      <c r="D4" s="128"/>
      <c r="E4" s="137"/>
    </row>
    <row r="5" spans="1:7" ht="14.25" x14ac:dyDescent="0.2">
      <c r="A5" s="36" t="s">
        <v>55</v>
      </c>
      <c r="B5" s="166">
        <v>8.67</v>
      </c>
      <c r="C5" s="166">
        <v>15.356999999999999</v>
      </c>
      <c r="D5" s="128"/>
    </row>
    <row r="6" spans="1:7" ht="14.25" x14ac:dyDescent="0.2">
      <c r="A6" s="36" t="s">
        <v>66</v>
      </c>
      <c r="B6" s="166">
        <v>8.1029999999999998</v>
      </c>
      <c r="C6" s="166">
        <v>14.879</v>
      </c>
      <c r="D6" s="128"/>
    </row>
    <row r="7" spans="1:7" ht="14.25" x14ac:dyDescent="0.2">
      <c r="A7" s="36" t="s">
        <v>90</v>
      </c>
      <c r="B7" s="166">
        <v>7.4050000000000002</v>
      </c>
      <c r="C7" s="166">
        <v>13.436</v>
      </c>
      <c r="D7" s="128"/>
    </row>
    <row r="8" spans="1:7" ht="14.25" x14ac:dyDescent="0.2">
      <c r="A8" s="36" t="s">
        <v>97</v>
      </c>
      <c r="B8" s="166">
        <v>7.05</v>
      </c>
      <c r="C8" s="166">
        <v>12.407</v>
      </c>
      <c r="D8" s="128"/>
    </row>
    <row r="9" spans="1:7" ht="14.25" x14ac:dyDescent="0.2">
      <c r="A9" s="36" t="s">
        <v>100</v>
      </c>
      <c r="B9" s="166">
        <v>7.0979999999999999</v>
      </c>
      <c r="C9" s="166">
        <v>12.686</v>
      </c>
      <c r="D9" s="128"/>
    </row>
    <row r="10" spans="1:7" ht="14.25" x14ac:dyDescent="0.2">
      <c r="A10" s="36" t="s">
        <v>101</v>
      </c>
      <c r="B10" s="166">
        <v>6.827</v>
      </c>
      <c r="C10" s="166">
        <v>12.367000000000001</v>
      </c>
      <c r="D10" s="128"/>
    </row>
    <row r="11" spans="1:7" ht="14.25" x14ac:dyDescent="0.2">
      <c r="A11" s="36" t="s">
        <v>117</v>
      </c>
      <c r="B11" s="166">
        <v>7.5990000000000002</v>
      </c>
      <c r="C11" s="166">
        <v>13.596</v>
      </c>
    </row>
    <row r="12" spans="1:7" ht="14.25" x14ac:dyDescent="0.2">
      <c r="A12" s="36" t="s">
        <v>119</v>
      </c>
      <c r="B12" s="166">
        <v>8.2449999999999992</v>
      </c>
      <c r="C12" s="166">
        <v>15.282999999999999</v>
      </c>
    </row>
    <row r="13" spans="1:7" ht="14.25" x14ac:dyDescent="0.2">
      <c r="A13" s="36" t="s">
        <v>160</v>
      </c>
      <c r="B13" s="166">
        <v>8.4</v>
      </c>
      <c r="C13" s="166">
        <v>15.9</v>
      </c>
    </row>
    <row r="14" spans="1:7" ht="14.25" x14ac:dyDescent="0.2">
      <c r="A14" s="36" t="s">
        <v>167</v>
      </c>
      <c r="B14" s="166">
        <v>11.066000000000001</v>
      </c>
      <c r="C14" s="166">
        <v>18.100000000000001</v>
      </c>
    </row>
    <row r="15" spans="1:7" x14ac:dyDescent="0.2">
      <c r="A15" s="18"/>
      <c r="B15" s="161"/>
      <c r="C15" s="128"/>
    </row>
    <row r="16" spans="1:7" x14ac:dyDescent="0.2">
      <c r="A16" s="18"/>
      <c r="B16" s="161"/>
      <c r="C16" s="128"/>
    </row>
    <row r="17" spans="1:3" x14ac:dyDescent="0.2">
      <c r="A17" s="18"/>
      <c r="B17" s="128"/>
      <c r="C17" s="128"/>
    </row>
    <row r="18" spans="1:3" ht="14.25" x14ac:dyDescent="0.2">
      <c r="A18" s="136"/>
      <c r="B18" s="128"/>
      <c r="C18" s="128"/>
    </row>
    <row r="19" spans="1:3" ht="14.25" x14ac:dyDescent="0.2">
      <c r="A19" s="136"/>
      <c r="B19" s="128"/>
      <c r="C19" s="128"/>
    </row>
    <row r="20" spans="1:3" ht="14.25" x14ac:dyDescent="0.2">
      <c r="A20" s="136"/>
      <c r="B20" s="128"/>
      <c r="C20" s="128"/>
    </row>
    <row r="21" spans="1:3" ht="14.25" x14ac:dyDescent="0.2">
      <c r="A21" s="136"/>
      <c r="B21" s="128"/>
      <c r="C21" s="128"/>
    </row>
    <row r="22" spans="1:3" ht="14.25" x14ac:dyDescent="0.2">
      <c r="A22" s="136"/>
      <c r="B22" s="128"/>
      <c r="C22" s="128"/>
    </row>
    <row r="23" spans="1:3" ht="14.25" x14ac:dyDescent="0.2">
      <c r="A23" s="136"/>
      <c r="B23" s="128"/>
      <c r="C23" s="128"/>
    </row>
    <row r="24" spans="1:3" ht="14.25" x14ac:dyDescent="0.2">
      <c r="A24" s="136"/>
      <c r="B24" s="128"/>
      <c r="C24" s="128"/>
    </row>
    <row r="25" spans="1:3" ht="14.25" x14ac:dyDescent="0.2">
      <c r="A25" s="136"/>
      <c r="B25" s="128"/>
      <c r="C25" s="128"/>
    </row>
    <row r="26" spans="1:3" ht="14.25" x14ac:dyDescent="0.2">
      <c r="A26" s="136"/>
      <c r="B26" s="128"/>
      <c r="C26" s="128"/>
    </row>
    <row r="27" spans="1:3" ht="14.25" x14ac:dyDescent="0.2">
      <c r="A27" s="136"/>
      <c r="B27" s="128"/>
      <c r="C27" s="128"/>
    </row>
    <row r="28" spans="1:3" ht="14.25" x14ac:dyDescent="0.2">
      <c r="A28" s="136"/>
      <c r="B28" s="127"/>
      <c r="C28" s="128"/>
    </row>
    <row r="29" spans="1:3" ht="14.25" x14ac:dyDescent="0.2">
      <c r="A29" s="136"/>
      <c r="B29" s="127"/>
      <c r="C29" s="127"/>
    </row>
    <row r="30" spans="1:3" ht="14.25" x14ac:dyDescent="0.2">
      <c r="A30" s="136"/>
      <c r="B30" s="127"/>
      <c r="C30" s="127"/>
    </row>
    <row r="31" spans="1:3" ht="14.25" x14ac:dyDescent="0.2">
      <c r="A31" s="136"/>
      <c r="B31" s="127"/>
      <c r="C31" s="127"/>
    </row>
    <row r="32" spans="1:3" ht="14.25" x14ac:dyDescent="0.2">
      <c r="A32" s="136"/>
      <c r="B32" s="127"/>
      <c r="C32" s="127"/>
    </row>
    <row r="33" spans="1:3" ht="14.25" x14ac:dyDescent="0.2">
      <c r="A33" s="136"/>
      <c r="B33" s="127"/>
      <c r="C33" s="127"/>
    </row>
    <row r="34" spans="1:3" ht="14.25" x14ac:dyDescent="0.2">
      <c r="A34" s="136"/>
      <c r="B34" s="127"/>
      <c r="C34" s="127"/>
    </row>
    <row r="35" spans="1:3" ht="14.25" x14ac:dyDescent="0.2">
      <c r="A35" s="136"/>
      <c r="B35" s="127"/>
      <c r="C35" s="127"/>
    </row>
    <row r="36" spans="1:3" ht="14.25" x14ac:dyDescent="0.2">
      <c r="A36" s="136"/>
      <c r="B36" s="127"/>
      <c r="C36" s="127"/>
    </row>
    <row r="37" spans="1:3" ht="14.25" x14ac:dyDescent="0.2">
      <c r="A37" s="136"/>
      <c r="B37" s="127"/>
      <c r="C37" s="127"/>
    </row>
    <row r="38" spans="1:3" ht="14.25" x14ac:dyDescent="0.2">
      <c r="A38" s="136"/>
      <c r="B38" s="127"/>
      <c r="C38" s="127"/>
    </row>
    <row r="39" spans="1:3" ht="14.25" x14ac:dyDescent="0.2">
      <c r="A39" s="136"/>
      <c r="B39" s="127"/>
      <c r="C39" s="127"/>
    </row>
    <row r="40" spans="1:3" ht="14.25" x14ac:dyDescent="0.2">
      <c r="A40" s="136"/>
      <c r="B40" s="127"/>
      <c r="C40" s="127"/>
    </row>
    <row r="41" spans="1:3" ht="14.25" x14ac:dyDescent="0.2">
      <c r="A41" s="136"/>
      <c r="B41" s="127"/>
      <c r="C41" s="127"/>
    </row>
    <row r="42" spans="1:3" ht="14.25" x14ac:dyDescent="0.2">
      <c r="A42" s="136"/>
      <c r="B42" s="127"/>
      <c r="C42" s="127"/>
    </row>
    <row r="43" spans="1:3" ht="14.25" x14ac:dyDescent="0.2">
      <c r="A43" s="136"/>
      <c r="B43" s="127"/>
      <c r="C43" s="127"/>
    </row>
    <row r="44" spans="1:3" ht="14.25" x14ac:dyDescent="0.2">
      <c r="A44" s="136"/>
      <c r="B44" s="127"/>
      <c r="C44" s="127"/>
    </row>
    <row r="45" spans="1:3" ht="14.25" x14ac:dyDescent="0.2">
      <c r="A45" s="136"/>
      <c r="B45" s="127"/>
      <c r="C45" s="127"/>
    </row>
    <row r="46" spans="1:3" ht="14.25" x14ac:dyDescent="0.2">
      <c r="A46" s="136"/>
      <c r="B46" s="127"/>
      <c r="C46" s="127"/>
    </row>
    <row r="47" spans="1:3" ht="14.25" x14ac:dyDescent="0.2">
      <c r="A47" s="136"/>
      <c r="B47" s="127"/>
      <c r="C47" s="127"/>
    </row>
    <row r="48" spans="1:3" ht="14.25" x14ac:dyDescent="0.2">
      <c r="A48" s="136"/>
      <c r="B48" s="127"/>
      <c r="C48" s="127"/>
    </row>
    <row r="49" spans="1:3" ht="14.25" x14ac:dyDescent="0.2">
      <c r="A49" s="136"/>
      <c r="B49" s="127"/>
      <c r="C49" s="127"/>
    </row>
    <row r="50" spans="1:3" ht="14.25" x14ac:dyDescent="0.2">
      <c r="A50" s="136"/>
      <c r="B50" s="127"/>
      <c r="C50" s="127"/>
    </row>
    <row r="51" spans="1:3" ht="14.25" x14ac:dyDescent="0.2">
      <c r="A51" s="136"/>
      <c r="B51" s="127"/>
      <c r="C51" s="127"/>
    </row>
    <row r="52" spans="1:3" ht="14.25" x14ac:dyDescent="0.2">
      <c r="A52" s="136"/>
      <c r="B52" s="127"/>
      <c r="C52" s="127"/>
    </row>
    <row r="53" spans="1:3" ht="14.25" x14ac:dyDescent="0.2">
      <c r="A53" s="136"/>
      <c r="B53" s="127"/>
      <c r="C53" s="127"/>
    </row>
    <row r="54" spans="1:3" ht="14.25" x14ac:dyDescent="0.2">
      <c r="A54" s="136"/>
      <c r="B54" s="127"/>
      <c r="C54" s="127"/>
    </row>
    <row r="55" spans="1:3" ht="14.25" x14ac:dyDescent="0.2">
      <c r="A55" s="136"/>
      <c r="B55" s="127"/>
      <c r="C55" s="127"/>
    </row>
    <row r="56" spans="1:3" ht="14.25" x14ac:dyDescent="0.2">
      <c r="A56" s="136"/>
      <c r="B56" s="127"/>
      <c r="C56" s="127"/>
    </row>
    <row r="57" spans="1:3" ht="14.25" x14ac:dyDescent="0.2">
      <c r="A57" s="136"/>
      <c r="B57" s="127"/>
      <c r="C57" s="127"/>
    </row>
    <row r="58" spans="1:3" ht="14.25" x14ac:dyDescent="0.2">
      <c r="A58" s="136"/>
      <c r="B58" s="127"/>
      <c r="C58" s="127"/>
    </row>
    <row r="59" spans="1:3" ht="14.25" x14ac:dyDescent="0.2">
      <c r="A59" s="136"/>
      <c r="B59" s="127"/>
      <c r="C59" s="127"/>
    </row>
    <row r="60" spans="1:3" ht="14.25" x14ac:dyDescent="0.2">
      <c r="A60" s="136"/>
      <c r="B60" s="127"/>
      <c r="C60" s="127"/>
    </row>
    <row r="61" spans="1:3" ht="14.25" x14ac:dyDescent="0.2">
      <c r="A61" s="136"/>
      <c r="B61" s="127"/>
      <c r="C61" s="127"/>
    </row>
    <row r="62" spans="1:3" ht="14.25" x14ac:dyDescent="0.2">
      <c r="A62" s="136"/>
      <c r="B62" s="127"/>
      <c r="C62" s="127"/>
    </row>
    <row r="63" spans="1:3" ht="14.25" x14ac:dyDescent="0.2">
      <c r="A63" s="136"/>
      <c r="B63" s="127"/>
      <c r="C63" s="127"/>
    </row>
    <row r="64" spans="1:3" ht="14.25" x14ac:dyDescent="0.2">
      <c r="A64" s="136"/>
      <c r="B64" s="127"/>
      <c r="C64" s="127"/>
    </row>
    <row r="65" spans="1:3" ht="14.25" x14ac:dyDescent="0.2">
      <c r="A65" s="136"/>
      <c r="B65" s="127"/>
      <c r="C65" s="127"/>
    </row>
    <row r="66" spans="1:3" ht="14.25" x14ac:dyDescent="0.2">
      <c r="A66" s="136"/>
      <c r="B66" s="127"/>
      <c r="C66" s="127"/>
    </row>
    <row r="67" spans="1:3" ht="14.25" x14ac:dyDescent="0.2">
      <c r="A67" s="136"/>
      <c r="B67" s="127"/>
      <c r="C67" s="127"/>
    </row>
    <row r="68" spans="1:3" ht="14.25" x14ac:dyDescent="0.2">
      <c r="A68" s="136"/>
      <c r="B68" s="127"/>
      <c r="C68" s="127"/>
    </row>
    <row r="69" spans="1:3" ht="14.25" x14ac:dyDescent="0.2">
      <c r="A69" s="136"/>
      <c r="B69" s="127"/>
      <c r="C69" s="127"/>
    </row>
    <row r="70" spans="1:3" ht="14.25" x14ac:dyDescent="0.2">
      <c r="A70" s="136"/>
      <c r="B70" s="127"/>
      <c r="C70" s="127"/>
    </row>
    <row r="71" spans="1:3" ht="14.25" x14ac:dyDescent="0.2">
      <c r="A71" s="136"/>
      <c r="B71" s="127"/>
      <c r="C71" s="127"/>
    </row>
    <row r="72" spans="1:3" ht="14.25" x14ac:dyDescent="0.2">
      <c r="A72" s="136"/>
      <c r="B72" s="127"/>
      <c r="C72" s="127"/>
    </row>
    <row r="73" spans="1:3" ht="14.25" x14ac:dyDescent="0.2">
      <c r="A73" s="136"/>
      <c r="B73" s="127"/>
      <c r="C73" s="127"/>
    </row>
    <row r="74" spans="1:3" ht="14.25" x14ac:dyDescent="0.2">
      <c r="A74" s="136"/>
      <c r="B74" s="127"/>
      <c r="C74" s="127"/>
    </row>
    <row r="75" spans="1:3" ht="14.25" x14ac:dyDescent="0.2">
      <c r="A75" s="136"/>
      <c r="B75" s="127"/>
      <c r="C75" s="127"/>
    </row>
    <row r="76" spans="1:3" ht="14.25" x14ac:dyDescent="0.2">
      <c r="A76" s="136"/>
      <c r="B76" s="127"/>
      <c r="C76" s="127"/>
    </row>
    <row r="77" spans="1:3" ht="14.25" x14ac:dyDescent="0.2">
      <c r="A77" s="136"/>
      <c r="B77" s="127"/>
      <c r="C77" s="127"/>
    </row>
    <row r="78" spans="1:3" ht="14.25" x14ac:dyDescent="0.2">
      <c r="A78" s="136"/>
      <c r="B78" s="127"/>
      <c r="C78" s="127"/>
    </row>
    <row r="79" spans="1:3" ht="14.25" x14ac:dyDescent="0.2">
      <c r="A79" s="136"/>
      <c r="B79" s="127"/>
      <c r="C79" s="127"/>
    </row>
    <row r="80" spans="1:3" ht="14.25" x14ac:dyDescent="0.2">
      <c r="A80" s="136"/>
      <c r="B80" s="127"/>
      <c r="C80" s="127"/>
    </row>
    <row r="81" spans="1:3" ht="14.25" x14ac:dyDescent="0.2">
      <c r="A81" s="136"/>
      <c r="B81" s="127"/>
      <c r="C81" s="127"/>
    </row>
    <row r="82" spans="1:3" ht="14.25" x14ac:dyDescent="0.2">
      <c r="A82" s="136"/>
      <c r="B82" s="127"/>
      <c r="C82" s="127"/>
    </row>
    <row r="83" spans="1:3" ht="14.25" x14ac:dyDescent="0.2">
      <c r="A83" s="136"/>
      <c r="B83" s="127"/>
      <c r="C83" s="127"/>
    </row>
    <row r="84" spans="1:3" ht="14.25" x14ac:dyDescent="0.2">
      <c r="A84" s="136"/>
      <c r="B84" s="127"/>
      <c r="C84" s="127"/>
    </row>
    <row r="85" spans="1:3" ht="14.25" x14ac:dyDescent="0.2">
      <c r="A85" s="136"/>
      <c r="B85" s="127"/>
      <c r="C85" s="127"/>
    </row>
    <row r="86" spans="1:3" ht="14.25" x14ac:dyDescent="0.2">
      <c r="A86" s="136"/>
      <c r="B86" s="127"/>
      <c r="C86" s="127"/>
    </row>
    <row r="87" spans="1:3" ht="14.25" x14ac:dyDescent="0.2">
      <c r="A87" s="136"/>
      <c r="B87" s="127"/>
      <c r="C87" s="127"/>
    </row>
    <row r="88" spans="1:3" ht="14.25" x14ac:dyDescent="0.2">
      <c r="A88" s="136"/>
      <c r="B88" s="127"/>
      <c r="C88" s="127"/>
    </row>
    <row r="89" spans="1:3" ht="14.25" x14ac:dyDescent="0.2">
      <c r="A89" s="136"/>
      <c r="B89" s="127"/>
      <c r="C89" s="127"/>
    </row>
    <row r="90" spans="1:3" ht="14.25" x14ac:dyDescent="0.2">
      <c r="A90" s="136"/>
      <c r="B90" s="127"/>
      <c r="C90" s="127"/>
    </row>
    <row r="91" spans="1:3" ht="14.25" x14ac:dyDescent="0.2">
      <c r="A91" s="136"/>
      <c r="B91" s="127"/>
      <c r="C91" s="127"/>
    </row>
    <row r="92" spans="1:3" ht="14.25" x14ac:dyDescent="0.2">
      <c r="A92" s="136"/>
      <c r="B92" s="127"/>
      <c r="C92" s="127"/>
    </row>
    <row r="93" spans="1:3" ht="14.25" x14ac:dyDescent="0.2">
      <c r="A93" s="136"/>
      <c r="B93" s="127"/>
      <c r="C93" s="127"/>
    </row>
    <row r="94" spans="1:3" ht="14.25" x14ac:dyDescent="0.2">
      <c r="A94" s="136"/>
      <c r="B94" s="127"/>
      <c r="C94" s="127"/>
    </row>
    <row r="95" spans="1:3" ht="14.25" x14ac:dyDescent="0.2">
      <c r="A95" s="136"/>
      <c r="B95" s="127"/>
      <c r="C95" s="127"/>
    </row>
    <row r="96" spans="1:3" ht="14.25" x14ac:dyDescent="0.2">
      <c r="A96" s="136"/>
      <c r="B96" s="127"/>
      <c r="C96" s="127"/>
    </row>
    <row r="97" spans="1:3" ht="14.25" x14ac:dyDescent="0.2">
      <c r="A97" s="136"/>
      <c r="B97" s="127"/>
      <c r="C97" s="127"/>
    </row>
    <row r="98" spans="1:3" ht="14.25" x14ac:dyDescent="0.2">
      <c r="A98" s="136"/>
      <c r="B98" s="127"/>
      <c r="C98" s="127"/>
    </row>
    <row r="99" spans="1:3" ht="14.25" x14ac:dyDescent="0.2">
      <c r="A99" s="136"/>
      <c r="B99" s="127"/>
      <c r="C99" s="127"/>
    </row>
    <row r="100" spans="1:3" ht="14.25" x14ac:dyDescent="0.2">
      <c r="A100" s="136"/>
      <c r="B100" s="127"/>
      <c r="C100" s="127"/>
    </row>
    <row r="101" spans="1:3" ht="14.25" x14ac:dyDescent="0.2">
      <c r="A101" s="136"/>
      <c r="B101" s="127"/>
      <c r="C101" s="127"/>
    </row>
    <row r="102" spans="1:3" ht="14.25" x14ac:dyDescent="0.2">
      <c r="A102" s="136"/>
      <c r="B102" s="127"/>
      <c r="C102" s="127"/>
    </row>
    <row r="103" spans="1:3" ht="14.25" x14ac:dyDescent="0.2">
      <c r="A103" s="136"/>
      <c r="B103" s="127"/>
      <c r="C103" s="127"/>
    </row>
    <row r="104" spans="1:3" ht="14.25" x14ac:dyDescent="0.2">
      <c r="A104" s="136"/>
      <c r="B104" s="127"/>
      <c r="C104" s="127"/>
    </row>
    <row r="105" spans="1:3" ht="14.25" x14ac:dyDescent="0.2">
      <c r="A105" s="136"/>
      <c r="B105" s="127"/>
      <c r="C105" s="127"/>
    </row>
    <row r="106" spans="1:3" ht="14.25" x14ac:dyDescent="0.2">
      <c r="A106" s="136"/>
      <c r="B106" s="127"/>
      <c r="C106" s="127"/>
    </row>
    <row r="107" spans="1:3" ht="14.25" x14ac:dyDescent="0.2">
      <c r="A107" s="136"/>
      <c r="B107" s="127"/>
      <c r="C107" s="127"/>
    </row>
    <row r="108" spans="1:3" ht="14.25" x14ac:dyDescent="0.2">
      <c r="A108" s="136"/>
      <c r="B108" s="127"/>
      <c r="C108" s="127"/>
    </row>
    <row r="109" spans="1:3" ht="14.25" x14ac:dyDescent="0.2">
      <c r="A109" s="136"/>
      <c r="B109" s="127"/>
      <c r="C109" s="127"/>
    </row>
    <row r="110" spans="1:3" x14ac:dyDescent="0.2">
      <c r="A110" s="126"/>
      <c r="B110" s="127"/>
      <c r="C110" s="127"/>
    </row>
    <row r="111" spans="1:3" x14ac:dyDescent="0.2">
      <c r="A111" s="126"/>
      <c r="B111" s="127"/>
      <c r="C111" s="127"/>
    </row>
    <row r="112" spans="1:3" x14ac:dyDescent="0.2">
      <c r="A112" s="126"/>
      <c r="B112" s="127"/>
      <c r="C112" s="127"/>
    </row>
    <row r="113" spans="1:3" x14ac:dyDescent="0.2">
      <c r="A113" s="126"/>
      <c r="B113" s="127"/>
      <c r="C113" s="127"/>
    </row>
    <row r="114" spans="1:3" x14ac:dyDescent="0.2">
      <c r="A114" s="126"/>
      <c r="B114" s="127"/>
      <c r="C114" s="127"/>
    </row>
    <row r="115" spans="1:3" x14ac:dyDescent="0.2">
      <c r="A115" s="126"/>
      <c r="B115" s="127"/>
      <c r="C115" s="127"/>
    </row>
    <row r="116" spans="1:3" x14ac:dyDescent="0.2">
      <c r="A116" s="126"/>
      <c r="B116" s="127"/>
      <c r="C116" s="127"/>
    </row>
    <row r="117" spans="1:3" x14ac:dyDescent="0.2">
      <c r="A117" s="126"/>
      <c r="B117" s="127"/>
      <c r="C117" s="127"/>
    </row>
    <row r="118" spans="1:3" x14ac:dyDescent="0.2">
      <c r="A118" s="126"/>
      <c r="B118" s="127"/>
      <c r="C118" s="127"/>
    </row>
    <row r="119" spans="1:3" x14ac:dyDescent="0.2">
      <c r="A119" s="126"/>
      <c r="B119" s="127"/>
      <c r="C119" s="127"/>
    </row>
    <row r="120" spans="1:3" x14ac:dyDescent="0.2">
      <c r="A120" s="126"/>
      <c r="B120" s="127"/>
      <c r="C120" s="127"/>
    </row>
    <row r="121" spans="1:3" x14ac:dyDescent="0.2">
      <c r="A121" s="126"/>
      <c r="B121" s="127"/>
      <c r="C121" s="127"/>
    </row>
    <row r="122" spans="1:3" x14ac:dyDescent="0.2">
      <c r="A122" s="126"/>
      <c r="B122" s="127"/>
      <c r="C122" s="127"/>
    </row>
    <row r="123" spans="1:3" x14ac:dyDescent="0.2">
      <c r="A123" s="126"/>
      <c r="B123" s="127"/>
      <c r="C123" s="127"/>
    </row>
    <row r="124" spans="1:3" x14ac:dyDescent="0.2">
      <c r="A124" s="126"/>
      <c r="B124" s="127"/>
      <c r="C124" s="127"/>
    </row>
    <row r="125" spans="1:3" x14ac:dyDescent="0.2">
      <c r="A125" s="126"/>
      <c r="B125" s="127"/>
      <c r="C125" s="127"/>
    </row>
    <row r="126" spans="1:3" x14ac:dyDescent="0.2">
      <c r="A126" s="126"/>
      <c r="B126" s="127"/>
      <c r="C126" s="127"/>
    </row>
    <row r="127" spans="1:3" x14ac:dyDescent="0.2">
      <c r="A127" s="126"/>
      <c r="B127" s="127"/>
      <c r="C127" s="127"/>
    </row>
    <row r="128" spans="1:3" x14ac:dyDescent="0.2">
      <c r="A128" s="126"/>
      <c r="B128" s="127"/>
      <c r="C128" s="127"/>
    </row>
    <row r="129" spans="1:3" x14ac:dyDescent="0.2">
      <c r="A129" s="126"/>
      <c r="B129" s="127"/>
      <c r="C129" s="127"/>
    </row>
    <row r="130" spans="1:3" x14ac:dyDescent="0.2">
      <c r="A130" s="126"/>
      <c r="B130" s="127"/>
      <c r="C130" s="127"/>
    </row>
    <row r="131" spans="1:3" x14ac:dyDescent="0.2">
      <c r="A131" s="126"/>
      <c r="B131" s="127"/>
      <c r="C131" s="127"/>
    </row>
    <row r="132" spans="1:3" x14ac:dyDescent="0.2">
      <c r="A132" s="126"/>
      <c r="B132" s="127"/>
      <c r="C132" s="127"/>
    </row>
    <row r="133" spans="1:3" x14ac:dyDescent="0.2">
      <c r="A133" s="126"/>
      <c r="B133" s="127"/>
      <c r="C133" s="127"/>
    </row>
    <row r="134" spans="1:3" x14ac:dyDescent="0.2">
      <c r="A134" s="126"/>
      <c r="B134" s="127"/>
      <c r="C134" s="127"/>
    </row>
    <row r="135" spans="1:3" x14ac:dyDescent="0.2">
      <c r="A135" s="126"/>
      <c r="B135" s="127"/>
      <c r="C135" s="127"/>
    </row>
    <row r="136" spans="1:3" x14ac:dyDescent="0.2">
      <c r="A136" s="126"/>
      <c r="B136" s="127"/>
      <c r="C136" s="127"/>
    </row>
    <row r="137" spans="1:3" x14ac:dyDescent="0.2">
      <c r="A137" s="126"/>
      <c r="B137" s="127"/>
      <c r="C137" s="127"/>
    </row>
    <row r="138" spans="1:3" x14ac:dyDescent="0.2">
      <c r="A138" s="126"/>
      <c r="B138" s="127"/>
      <c r="C138" s="127"/>
    </row>
    <row r="139" spans="1:3" x14ac:dyDescent="0.2">
      <c r="A139" s="126"/>
      <c r="B139" s="127"/>
      <c r="C139" s="127"/>
    </row>
    <row r="140" spans="1:3" x14ac:dyDescent="0.2">
      <c r="A140" s="126"/>
      <c r="B140" s="127"/>
      <c r="C140" s="127"/>
    </row>
    <row r="141" spans="1:3" x14ac:dyDescent="0.2">
      <c r="A141" s="126"/>
      <c r="B141" s="127"/>
      <c r="C141" s="127"/>
    </row>
    <row r="142" spans="1:3" x14ac:dyDescent="0.2">
      <c r="A142" s="126"/>
      <c r="B142" s="127"/>
      <c r="C142" s="127"/>
    </row>
    <row r="143" spans="1:3" x14ac:dyDescent="0.2">
      <c r="A143" s="126"/>
      <c r="B143" s="127"/>
      <c r="C143" s="127"/>
    </row>
    <row r="144" spans="1:3" x14ac:dyDescent="0.2">
      <c r="A144" s="126"/>
      <c r="B144" s="127"/>
      <c r="C144" s="127"/>
    </row>
    <row r="145" spans="1:3" x14ac:dyDescent="0.2">
      <c r="A145" s="126"/>
      <c r="B145" s="127"/>
      <c r="C145" s="127"/>
    </row>
    <row r="146" spans="1:3" x14ac:dyDescent="0.2">
      <c r="A146" s="126"/>
      <c r="B146" s="127"/>
      <c r="C146" s="127"/>
    </row>
    <row r="147" spans="1:3" x14ac:dyDescent="0.2">
      <c r="A147" s="126"/>
      <c r="B147" s="127"/>
      <c r="C147" s="127"/>
    </row>
    <row r="148" spans="1:3" x14ac:dyDescent="0.2">
      <c r="A148" s="126"/>
      <c r="B148" s="127"/>
      <c r="C148" s="127"/>
    </row>
    <row r="149" spans="1:3" x14ac:dyDescent="0.2">
      <c r="A149" s="126"/>
      <c r="B149" s="127"/>
      <c r="C149" s="127"/>
    </row>
    <row r="150" spans="1:3" x14ac:dyDescent="0.2">
      <c r="A150" s="126"/>
      <c r="B150" s="127"/>
      <c r="C150" s="127"/>
    </row>
    <row r="151" spans="1:3" x14ac:dyDescent="0.2">
      <c r="A151" s="126"/>
      <c r="B151" s="127"/>
      <c r="C151" s="127"/>
    </row>
    <row r="152" spans="1:3" x14ac:dyDescent="0.2">
      <c r="A152" s="126"/>
      <c r="B152" s="127"/>
      <c r="C152" s="127"/>
    </row>
    <row r="153" spans="1:3" x14ac:dyDescent="0.2">
      <c r="A153" s="126"/>
      <c r="B153" s="127"/>
      <c r="C153" s="127"/>
    </row>
    <row r="154" spans="1:3" x14ac:dyDescent="0.2">
      <c r="A154" s="126"/>
      <c r="B154" s="127"/>
      <c r="C154" s="127"/>
    </row>
    <row r="155" spans="1:3" x14ac:dyDescent="0.2">
      <c r="A155" s="126"/>
      <c r="B155" s="127"/>
      <c r="C155" s="127"/>
    </row>
    <row r="156" spans="1:3" x14ac:dyDescent="0.2">
      <c r="A156" s="126"/>
      <c r="B156" s="127"/>
      <c r="C156" s="127"/>
    </row>
    <row r="157" spans="1:3" x14ac:dyDescent="0.2">
      <c r="A157" s="126"/>
      <c r="B157" s="127"/>
      <c r="C157" s="127"/>
    </row>
    <row r="158" spans="1:3" x14ac:dyDescent="0.2">
      <c r="A158" s="126"/>
      <c r="B158" s="127"/>
      <c r="C158" s="127"/>
    </row>
    <row r="159" spans="1:3" x14ac:dyDescent="0.2">
      <c r="A159" s="126"/>
      <c r="B159" s="127"/>
      <c r="C159" s="127"/>
    </row>
    <row r="160" spans="1:3" x14ac:dyDescent="0.2">
      <c r="A160" s="126"/>
      <c r="B160" s="127"/>
      <c r="C160" s="127"/>
    </row>
    <row r="161" spans="1:3" x14ac:dyDescent="0.2">
      <c r="A161" s="126"/>
      <c r="B161" s="127"/>
      <c r="C161" s="127"/>
    </row>
    <row r="162" spans="1:3" x14ac:dyDescent="0.2">
      <c r="A162" s="126"/>
      <c r="B162" s="127"/>
      <c r="C162" s="127"/>
    </row>
    <row r="163" spans="1:3" x14ac:dyDescent="0.2">
      <c r="A163" s="126"/>
      <c r="B163" s="127"/>
      <c r="C163" s="127"/>
    </row>
    <row r="164" spans="1:3" x14ac:dyDescent="0.2">
      <c r="A164" s="126"/>
      <c r="B164" s="127"/>
      <c r="C164" s="127"/>
    </row>
    <row r="165" spans="1:3" x14ac:dyDescent="0.2">
      <c r="A165" s="126"/>
      <c r="B165" s="127"/>
      <c r="C165" s="127"/>
    </row>
    <row r="166" spans="1:3" x14ac:dyDescent="0.2">
      <c r="A166" s="126"/>
      <c r="B166" s="127"/>
      <c r="C166" s="127"/>
    </row>
    <row r="167" spans="1:3" x14ac:dyDescent="0.2">
      <c r="A167" s="126"/>
      <c r="B167" s="127"/>
      <c r="C167" s="127"/>
    </row>
    <row r="168" spans="1:3" x14ac:dyDescent="0.2">
      <c r="A168" s="126"/>
      <c r="B168" s="127"/>
      <c r="C168" s="127"/>
    </row>
    <row r="169" spans="1:3" x14ac:dyDescent="0.2">
      <c r="A169" s="126"/>
      <c r="B169" s="127"/>
      <c r="C169" s="127"/>
    </row>
    <row r="170" spans="1:3" x14ac:dyDescent="0.2">
      <c r="A170" s="126"/>
      <c r="B170" s="127"/>
      <c r="C170" s="127"/>
    </row>
    <row r="171" spans="1:3" x14ac:dyDescent="0.2">
      <c r="A171" s="126"/>
      <c r="B171" s="127"/>
      <c r="C171" s="127"/>
    </row>
    <row r="172" spans="1:3" x14ac:dyDescent="0.2">
      <c r="A172" s="126"/>
      <c r="B172" s="127"/>
      <c r="C172" s="127"/>
    </row>
    <row r="173" spans="1:3" x14ac:dyDescent="0.2">
      <c r="A173" s="126"/>
      <c r="B173" s="127"/>
      <c r="C173" s="127"/>
    </row>
    <row r="174" spans="1:3" x14ac:dyDescent="0.2">
      <c r="A174" s="126"/>
      <c r="B174" s="127"/>
      <c r="C174" s="127"/>
    </row>
    <row r="175" spans="1:3" x14ac:dyDescent="0.2">
      <c r="A175" s="126"/>
      <c r="B175" s="127"/>
      <c r="C175" s="127"/>
    </row>
    <row r="176" spans="1:3" x14ac:dyDescent="0.2">
      <c r="A176" s="126"/>
      <c r="B176" s="127"/>
      <c r="C176" s="127"/>
    </row>
    <row r="177" spans="1:3" x14ac:dyDescent="0.2">
      <c r="A177" s="126"/>
      <c r="B177" s="127"/>
      <c r="C177" s="127"/>
    </row>
    <row r="178" spans="1:3" x14ac:dyDescent="0.2">
      <c r="A178" s="126"/>
      <c r="B178" s="127"/>
      <c r="C178" s="127"/>
    </row>
    <row r="179" spans="1:3" x14ac:dyDescent="0.2">
      <c r="A179" s="126"/>
      <c r="B179" s="127"/>
      <c r="C179" s="127"/>
    </row>
    <row r="180" spans="1:3" x14ac:dyDescent="0.2">
      <c r="A180" s="126"/>
      <c r="B180" s="127"/>
      <c r="C180" s="127"/>
    </row>
    <row r="181" spans="1:3" x14ac:dyDescent="0.2">
      <c r="A181" s="126"/>
      <c r="B181" s="127"/>
      <c r="C181" s="127"/>
    </row>
    <row r="182" spans="1:3" x14ac:dyDescent="0.2">
      <c r="A182" s="126"/>
      <c r="B182" s="127"/>
      <c r="C182" s="127"/>
    </row>
    <row r="183" spans="1:3" x14ac:dyDescent="0.2">
      <c r="A183" s="126"/>
      <c r="B183" s="127"/>
      <c r="C183" s="127"/>
    </row>
    <row r="184" spans="1:3" x14ac:dyDescent="0.2">
      <c r="A184" s="126"/>
      <c r="B184" s="127"/>
      <c r="C184" s="127"/>
    </row>
    <row r="185" spans="1:3" x14ac:dyDescent="0.2">
      <c r="A185" s="126"/>
      <c r="B185" s="127"/>
      <c r="C185" s="127"/>
    </row>
    <row r="186" spans="1:3" x14ac:dyDescent="0.2">
      <c r="A186" s="126"/>
      <c r="B186" s="127"/>
      <c r="C186" s="127"/>
    </row>
    <row r="187" spans="1:3" x14ac:dyDescent="0.2">
      <c r="A187" s="126"/>
      <c r="B187" s="127"/>
      <c r="C187" s="127"/>
    </row>
    <row r="188" spans="1:3" x14ac:dyDescent="0.2">
      <c r="A188" s="126"/>
      <c r="B188" s="127"/>
      <c r="C188" s="127"/>
    </row>
    <row r="189" spans="1:3" x14ac:dyDescent="0.2">
      <c r="A189" s="126"/>
      <c r="B189" s="127"/>
      <c r="C189" s="127"/>
    </row>
    <row r="190" spans="1:3" x14ac:dyDescent="0.2">
      <c r="A190" s="126"/>
      <c r="B190" s="127"/>
      <c r="C190" s="127"/>
    </row>
    <row r="191" spans="1:3" x14ac:dyDescent="0.2">
      <c r="A191" s="126"/>
      <c r="B191" s="127"/>
      <c r="C191" s="127"/>
    </row>
    <row r="192" spans="1:3" x14ac:dyDescent="0.2">
      <c r="A192" s="126"/>
      <c r="B192" s="127"/>
      <c r="C192" s="127"/>
    </row>
    <row r="193" spans="1:4" x14ac:dyDescent="0.2">
      <c r="A193" s="126"/>
      <c r="B193" s="127"/>
      <c r="C193" s="127"/>
    </row>
    <row r="194" spans="1:4" x14ac:dyDescent="0.2">
      <c r="A194" s="126"/>
      <c r="B194" s="127"/>
      <c r="C194" s="127"/>
    </row>
    <row r="195" spans="1:4" x14ac:dyDescent="0.2">
      <c r="A195" s="126"/>
      <c r="B195" s="127"/>
      <c r="C195" s="127"/>
    </row>
    <row r="196" spans="1:4" x14ac:dyDescent="0.2">
      <c r="A196" s="126"/>
      <c r="B196" s="127"/>
      <c r="C196" s="127"/>
    </row>
    <row r="197" spans="1:4" x14ac:dyDescent="0.2">
      <c r="A197" s="126"/>
      <c r="B197" s="127"/>
      <c r="C197" s="127"/>
    </row>
    <row r="198" spans="1:4" x14ac:dyDescent="0.2">
      <c r="A198" s="126"/>
      <c r="B198" s="127"/>
      <c r="C198" s="127"/>
    </row>
    <row r="199" spans="1:4" x14ac:dyDescent="0.2">
      <c r="A199" s="126"/>
      <c r="B199" s="127"/>
      <c r="C199" s="127"/>
    </row>
    <row r="200" spans="1:4" x14ac:dyDescent="0.2">
      <c r="A200" s="126"/>
      <c r="B200" s="127"/>
      <c r="C200" s="127"/>
    </row>
    <row r="201" spans="1:4" x14ac:dyDescent="0.2">
      <c r="A201" s="126"/>
      <c r="B201" s="127"/>
      <c r="C201" s="127"/>
    </row>
    <row r="202" spans="1:4" x14ac:dyDescent="0.2">
      <c r="A202" s="126"/>
      <c r="B202" s="127"/>
      <c r="C202" s="127"/>
    </row>
    <row r="203" spans="1:4" x14ac:dyDescent="0.2">
      <c r="A203" s="126"/>
      <c r="B203" s="127"/>
      <c r="C203" s="127"/>
    </row>
    <row r="204" spans="1:4" x14ac:dyDescent="0.2">
      <c r="A204" s="126"/>
      <c r="B204" s="127"/>
      <c r="C204" s="127"/>
      <c r="D204" s="127"/>
    </row>
    <row r="205" spans="1:4" x14ac:dyDescent="0.2">
      <c r="A205" s="126"/>
      <c r="B205" s="127"/>
      <c r="C205" s="127"/>
      <c r="D205" s="127"/>
    </row>
    <row r="206" spans="1:4" x14ac:dyDescent="0.2">
      <c r="A206" s="126"/>
      <c r="B206" s="127"/>
      <c r="C206" s="127"/>
      <c r="D206" s="127"/>
    </row>
    <row r="207" spans="1:4" x14ac:dyDescent="0.2">
      <c r="A207" s="126"/>
      <c r="B207" s="127"/>
      <c r="C207" s="127"/>
      <c r="D207" s="127"/>
    </row>
    <row r="208" spans="1:4" x14ac:dyDescent="0.2">
      <c r="A208" s="126"/>
      <c r="B208" s="127"/>
      <c r="C208" s="127"/>
      <c r="D208" s="127"/>
    </row>
    <row r="209" spans="1:4" x14ac:dyDescent="0.2">
      <c r="A209" s="126"/>
      <c r="B209" s="127"/>
      <c r="C209" s="127"/>
      <c r="D209" s="127"/>
    </row>
    <row r="210" spans="1:4" x14ac:dyDescent="0.2">
      <c r="A210" s="126"/>
      <c r="B210" s="127"/>
      <c r="C210" s="127"/>
      <c r="D210" s="127"/>
    </row>
    <row r="211" spans="1:4" x14ac:dyDescent="0.2">
      <c r="A211" s="126"/>
      <c r="B211" s="127"/>
      <c r="C211" s="127"/>
      <c r="D211" s="127"/>
    </row>
    <row r="212" spans="1:4" x14ac:dyDescent="0.2">
      <c r="A212" s="126"/>
      <c r="B212" s="127"/>
      <c r="C212" s="127"/>
      <c r="D212" s="127"/>
    </row>
    <row r="213" spans="1:4" x14ac:dyDescent="0.2">
      <c r="A213" s="126"/>
      <c r="B213" s="127"/>
      <c r="C213" s="127"/>
      <c r="D213" s="127"/>
    </row>
    <row r="214" spans="1:4" x14ac:dyDescent="0.2">
      <c r="A214" s="126"/>
      <c r="B214" s="127"/>
      <c r="C214" s="127"/>
      <c r="D214" s="127"/>
    </row>
    <row r="215" spans="1:4" x14ac:dyDescent="0.2">
      <c r="A215" s="126"/>
      <c r="B215" s="127"/>
      <c r="C215" s="127"/>
      <c r="D215" s="127"/>
    </row>
    <row r="216" spans="1:4" x14ac:dyDescent="0.2">
      <c r="A216" s="126"/>
      <c r="B216" s="127"/>
      <c r="C216" s="127"/>
      <c r="D216" s="127"/>
    </row>
    <row r="217" spans="1:4" x14ac:dyDescent="0.2">
      <c r="A217" s="126"/>
      <c r="B217" s="127"/>
      <c r="C217" s="127"/>
      <c r="D217" s="127"/>
    </row>
    <row r="218" spans="1:4" x14ac:dyDescent="0.2">
      <c r="A218" s="126"/>
      <c r="B218" s="127"/>
      <c r="C218" s="127"/>
      <c r="D218" s="127"/>
    </row>
    <row r="219" spans="1:4" x14ac:dyDescent="0.2">
      <c r="A219" s="126"/>
      <c r="B219" s="127"/>
      <c r="C219" s="127"/>
      <c r="D219" s="127"/>
    </row>
    <row r="220" spans="1:4" x14ac:dyDescent="0.2">
      <c r="A220" s="126"/>
      <c r="B220" s="127"/>
      <c r="C220" s="127"/>
      <c r="D220" s="127"/>
    </row>
    <row r="221" spans="1:4" x14ac:dyDescent="0.2">
      <c r="A221" s="126"/>
      <c r="B221" s="127"/>
      <c r="C221" s="127"/>
      <c r="D221" s="127"/>
    </row>
    <row r="222" spans="1:4" x14ac:dyDescent="0.2">
      <c r="A222" s="126"/>
      <c r="B222" s="127"/>
      <c r="C222" s="127"/>
      <c r="D222" s="127"/>
    </row>
    <row r="223" spans="1:4" x14ac:dyDescent="0.2">
      <c r="A223" s="126"/>
      <c r="B223" s="127"/>
      <c r="C223" s="127"/>
      <c r="D223" s="127"/>
    </row>
    <row r="224" spans="1:4" x14ac:dyDescent="0.2">
      <c r="A224" s="126"/>
      <c r="B224" s="127"/>
      <c r="C224" s="127"/>
      <c r="D224" s="127"/>
    </row>
    <row r="225" spans="1:4" x14ac:dyDescent="0.2">
      <c r="A225" s="126"/>
      <c r="B225" s="127"/>
      <c r="C225" s="127"/>
      <c r="D225" s="127"/>
    </row>
    <row r="226" spans="1:4" x14ac:dyDescent="0.2">
      <c r="A226" s="126"/>
      <c r="B226" s="127"/>
      <c r="C226" s="127"/>
      <c r="D226" s="127"/>
    </row>
    <row r="227" spans="1:4" x14ac:dyDescent="0.2">
      <c r="A227" s="126"/>
      <c r="B227" s="127"/>
      <c r="C227" s="127"/>
      <c r="D227" s="127"/>
    </row>
    <row r="228" spans="1:4" x14ac:dyDescent="0.2">
      <c r="A228" s="126"/>
      <c r="B228" s="127"/>
      <c r="C228" s="127"/>
      <c r="D228" s="127"/>
    </row>
    <row r="229" spans="1:4" x14ac:dyDescent="0.2">
      <c r="A229" s="126"/>
      <c r="B229" s="127"/>
      <c r="C229" s="127"/>
      <c r="D229" s="127"/>
    </row>
  </sheetData>
  <pageMargins left="0.7" right="0.7" top="1" bottom="6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U535"/>
  <sheetViews>
    <sheetView showGridLines="0" zoomScale="90" zoomScaleNormal="90" workbookViewId="0"/>
  </sheetViews>
  <sheetFormatPr defaultRowHeight="12.75" x14ac:dyDescent="0.2"/>
  <cols>
    <col min="1" max="1" width="21.7109375" customWidth="1"/>
    <col min="2" max="2" width="11.5703125" customWidth="1"/>
    <col min="3" max="3" width="9.5703125" customWidth="1"/>
    <col min="4" max="4" width="8.5703125" customWidth="1"/>
    <col min="5" max="5" width="9.7109375" customWidth="1"/>
    <col min="6" max="6" width="10.7109375" customWidth="1"/>
    <col min="7" max="7" width="7.7109375" customWidth="1"/>
    <col min="8" max="8" width="9.7109375" customWidth="1"/>
    <col min="9" max="9" width="1.7109375" customWidth="1"/>
    <col min="10" max="10" width="9.7109375" customWidth="1"/>
    <col min="11" max="12" width="10.7109375" customWidth="1"/>
    <col min="13" max="14" width="9.7109375" customWidth="1"/>
  </cols>
  <sheetData>
    <row r="1" spans="1:14" ht="14.25" x14ac:dyDescent="0.2">
      <c r="A1" s="35" t="s">
        <v>72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4.25" x14ac:dyDescent="0.2">
      <c r="A2" s="36"/>
      <c r="B2" s="148" t="s">
        <v>27</v>
      </c>
      <c r="C2" s="143"/>
      <c r="D2" s="38" t="s">
        <v>30</v>
      </c>
      <c r="E2" s="147"/>
      <c r="F2" s="143" t="s">
        <v>91</v>
      </c>
      <c r="G2" s="143"/>
      <c r="H2" s="143"/>
      <c r="I2" s="39"/>
      <c r="J2" s="147"/>
      <c r="K2" s="143"/>
      <c r="L2" s="149" t="s">
        <v>69</v>
      </c>
      <c r="M2" s="143"/>
      <c r="N2" s="36"/>
    </row>
    <row r="3" spans="1:14" ht="14.25" x14ac:dyDescent="0.2">
      <c r="A3" s="36" t="s">
        <v>83</v>
      </c>
      <c r="B3" s="38" t="s">
        <v>28</v>
      </c>
      <c r="C3" s="36" t="s">
        <v>29</v>
      </c>
      <c r="D3" s="38"/>
      <c r="E3" s="40" t="s">
        <v>8</v>
      </c>
      <c r="F3" s="40"/>
      <c r="G3" s="40"/>
      <c r="H3" s="40"/>
      <c r="I3" s="40"/>
      <c r="J3" s="38" t="s">
        <v>71</v>
      </c>
      <c r="K3" s="40" t="s">
        <v>99</v>
      </c>
      <c r="L3" s="40"/>
      <c r="M3" s="40"/>
      <c r="N3" s="40" t="s">
        <v>6</v>
      </c>
    </row>
    <row r="4" spans="1:14" ht="14.25" x14ac:dyDescent="0.2">
      <c r="A4" s="41" t="s">
        <v>87</v>
      </c>
      <c r="B4" s="42"/>
      <c r="C4" s="42"/>
      <c r="D4" s="42"/>
      <c r="E4" s="43" t="s">
        <v>7</v>
      </c>
      <c r="F4" s="43" t="s">
        <v>1</v>
      </c>
      <c r="G4" s="44" t="s">
        <v>2</v>
      </c>
      <c r="H4" s="45" t="s">
        <v>3</v>
      </c>
      <c r="I4" s="44"/>
      <c r="J4" s="44"/>
      <c r="K4" s="44" t="s">
        <v>5</v>
      </c>
      <c r="L4" s="45" t="s">
        <v>4</v>
      </c>
      <c r="M4" s="43" t="s">
        <v>3</v>
      </c>
      <c r="N4" s="44" t="s">
        <v>7</v>
      </c>
    </row>
    <row r="5" spans="1:14" ht="14.25" x14ac:dyDescent="0.2">
      <c r="A5" s="36"/>
      <c r="B5" s="141" t="s">
        <v>92</v>
      </c>
      <c r="C5" s="142"/>
      <c r="D5" s="46" t="s">
        <v>74</v>
      </c>
      <c r="G5" s="141"/>
      <c r="I5" s="141"/>
      <c r="J5" s="146" t="s">
        <v>164</v>
      </c>
      <c r="K5" s="141"/>
      <c r="L5" s="141"/>
      <c r="M5" s="141"/>
      <c r="N5" s="141"/>
    </row>
    <row r="6" spans="1:14" ht="16.5" customHeight="1" x14ac:dyDescent="0.2">
      <c r="A6" s="36" t="s">
        <v>137</v>
      </c>
      <c r="B6" s="47">
        <v>90.162000000000006</v>
      </c>
      <c r="C6" s="47">
        <v>89.542000000000002</v>
      </c>
      <c r="D6" s="47">
        <f>F6/C6</f>
        <v>49.268868240602174</v>
      </c>
      <c r="E6" s="48">
        <v>301.59500000000003</v>
      </c>
      <c r="F6" s="49">
        <v>4411.6329999999998</v>
      </c>
      <c r="G6" s="50">
        <v>21.810493399999999</v>
      </c>
      <c r="H6" s="50">
        <f t="shared" ref="H6:H7" si="0">SUM(E6:G6)</f>
        <v>4735.0384934000003</v>
      </c>
      <c r="I6" s="36"/>
      <c r="J6" s="49">
        <v>2054.9319999999998</v>
      </c>
      <c r="K6" s="49">
        <f t="shared" ref="K6:K8" si="1">M6-L6-J6</f>
        <v>108.2711933999999</v>
      </c>
      <c r="L6" s="50">
        <v>2133.7303000000002</v>
      </c>
      <c r="M6" s="50">
        <f t="shared" ref="M6:M8" si="2">H6-N6</f>
        <v>4296.9334933999999</v>
      </c>
      <c r="N6" s="50">
        <v>438.10500000000002</v>
      </c>
    </row>
    <row r="7" spans="1:14" ht="16.5" customHeight="1" x14ac:dyDescent="0.2">
      <c r="A7" s="36" t="s">
        <v>159</v>
      </c>
      <c r="B7" s="47">
        <v>89.167000000000002</v>
      </c>
      <c r="C7" s="47">
        <v>87.593999999999994</v>
      </c>
      <c r="D7" s="47">
        <f t="shared" ref="D7:D8" si="3">F7/C7</f>
        <v>50.553120076717583</v>
      </c>
      <c r="E7" s="48">
        <f>N6</f>
        <v>438.10500000000002</v>
      </c>
      <c r="F7" s="49">
        <f>F28</f>
        <v>4428.1499999999996</v>
      </c>
      <c r="G7" s="50">
        <f>G28</f>
        <v>14.068866575777999</v>
      </c>
      <c r="H7" s="50">
        <f t="shared" si="0"/>
        <v>4880.3238665757772</v>
      </c>
      <c r="I7" s="36"/>
      <c r="J7" s="49">
        <f>J28</f>
        <v>2091.8003666666668</v>
      </c>
      <c r="K7" s="49">
        <f t="shared" si="1"/>
        <v>127.79730512700553</v>
      </c>
      <c r="L7" s="50">
        <f>L28</f>
        <v>1747.6721947821047</v>
      </c>
      <c r="M7" s="50">
        <f t="shared" si="2"/>
        <v>3967.2698665757771</v>
      </c>
      <c r="N7" s="50">
        <f>N27</f>
        <v>913.05399999999997</v>
      </c>
    </row>
    <row r="8" spans="1:14" ht="16.5" customHeight="1" x14ac:dyDescent="0.2">
      <c r="A8" s="36" t="s">
        <v>166</v>
      </c>
      <c r="B8" s="47">
        <v>76.456999999999994</v>
      </c>
      <c r="C8" s="47">
        <v>75.626000000000005</v>
      </c>
      <c r="D8" s="47">
        <f t="shared" si="3"/>
        <v>46.941223917700256</v>
      </c>
      <c r="E8" s="48">
        <f>N7</f>
        <v>913.05399999999997</v>
      </c>
      <c r="F8" s="49">
        <f>F33</f>
        <v>3549.9769999999999</v>
      </c>
      <c r="G8" s="50">
        <v>20</v>
      </c>
      <c r="H8" s="50">
        <f>SUM(E8:G8)</f>
        <v>4483.0309999999999</v>
      </c>
      <c r="I8" s="36"/>
      <c r="J8" s="49">
        <v>2105</v>
      </c>
      <c r="K8" s="49">
        <f t="shared" si="1"/>
        <v>128.03099999999995</v>
      </c>
      <c r="L8" s="50">
        <v>1775</v>
      </c>
      <c r="M8" s="50">
        <f t="shared" si="2"/>
        <v>4008.0309999999999</v>
      </c>
      <c r="N8" s="50">
        <v>475</v>
      </c>
    </row>
    <row r="9" spans="1:14" ht="16.5" customHeight="1" x14ac:dyDescent="0.2">
      <c r="A9" s="39"/>
      <c r="B9" s="39"/>
      <c r="C9" s="39"/>
      <c r="D9" s="39"/>
      <c r="E9" s="52"/>
      <c r="F9" s="52"/>
      <c r="G9" s="53"/>
      <c r="H9" s="52"/>
      <c r="I9" s="52"/>
      <c r="J9" s="53"/>
      <c r="K9" s="53"/>
      <c r="L9" s="53"/>
      <c r="M9" s="53"/>
      <c r="N9" s="54"/>
    </row>
    <row r="10" spans="1:14" ht="16.5" customHeight="1" x14ac:dyDescent="0.2">
      <c r="A10" s="39" t="s">
        <v>73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78"/>
    </row>
    <row r="11" spans="1:14" ht="16.5" customHeight="1" x14ac:dyDescent="0.2">
      <c r="A11" s="36" t="s">
        <v>160</v>
      </c>
      <c r="B11" s="39"/>
      <c r="C11" s="39"/>
      <c r="D11" s="39"/>
      <c r="E11" s="54"/>
      <c r="F11" s="56"/>
      <c r="G11" s="57"/>
      <c r="H11" s="58"/>
      <c r="I11" s="58"/>
      <c r="J11" s="58"/>
      <c r="K11" s="59"/>
      <c r="L11" s="57"/>
      <c r="M11" s="57"/>
      <c r="N11" s="60"/>
    </row>
    <row r="12" spans="1:14" ht="16.5" customHeight="1" x14ac:dyDescent="0.2">
      <c r="A12" s="39" t="s">
        <v>102</v>
      </c>
      <c r="B12" s="39"/>
      <c r="C12" s="39"/>
      <c r="D12" s="39"/>
      <c r="F12" s="56"/>
      <c r="G12" s="57">
        <f>(2.816098+19.605255+5.608301)*2.204622/60</f>
        <v>1.0299131976797999</v>
      </c>
      <c r="H12" s="58"/>
      <c r="I12" s="58"/>
      <c r="J12" s="58">
        <f>5.08948*2000/60</f>
        <v>169.64933333333332</v>
      </c>
      <c r="K12" s="59"/>
      <c r="L12" s="57">
        <f>(121.600804+3213.822)*2.204622/60</f>
        <v>122.55577488333482</v>
      </c>
      <c r="M12" s="57"/>
      <c r="N12" s="60"/>
    </row>
    <row r="13" spans="1:14" ht="16.5" customHeight="1" x14ac:dyDescent="0.2">
      <c r="A13" s="39" t="s">
        <v>108</v>
      </c>
      <c r="B13" s="39"/>
      <c r="C13" s="39"/>
      <c r="D13" s="39"/>
      <c r="E13" s="54"/>
      <c r="F13" s="56"/>
      <c r="G13" s="57">
        <f>(3.31633+14.647271+3.156869)*2.204622/60</f>
        <v>0.77604421353900011</v>
      </c>
      <c r="H13" s="58"/>
      <c r="I13" s="58"/>
      <c r="J13" s="58">
        <f>5.506753*2000/60</f>
        <v>183.55843333333331</v>
      </c>
      <c r="K13" s="59"/>
      <c r="L13" s="57">
        <f>(124.374731+5333.268)*2.204622/60</f>
        <v>200.5339872150447</v>
      </c>
      <c r="M13" s="57"/>
      <c r="N13" s="60"/>
    </row>
    <row r="14" spans="1:14" ht="16.5" customHeight="1" x14ac:dyDescent="0.2">
      <c r="A14" s="39" t="s">
        <v>110</v>
      </c>
      <c r="B14" s="138"/>
      <c r="C14" s="138"/>
      <c r="D14" s="138"/>
      <c r="E14" s="138"/>
      <c r="F14" s="138"/>
      <c r="G14" s="57">
        <f>(1.859426+43.030142+5.079898)*2.204622/60</f>
        <v>1.8360630678641998</v>
      </c>
      <c r="H14" s="58"/>
      <c r="I14" s="138"/>
      <c r="J14" s="58">
        <f>5.343053*2000/60</f>
        <v>178.10176666666666</v>
      </c>
      <c r="K14" s="138"/>
      <c r="L14" s="57">
        <f>(169.194848+4710.15)*2.204622/60</f>
        <v>179.2851832914576</v>
      </c>
      <c r="M14" s="138"/>
      <c r="N14" s="138"/>
    </row>
    <row r="15" spans="1:14" ht="16.5" customHeight="1" x14ac:dyDescent="0.2">
      <c r="A15" s="39" t="s">
        <v>79</v>
      </c>
      <c r="B15" s="138"/>
      <c r="C15" s="138"/>
      <c r="D15" s="138"/>
      <c r="E15" s="54">
        <v>438.10500000000002</v>
      </c>
      <c r="F15" s="56">
        <v>4428.1499999999996</v>
      </c>
      <c r="G15" s="57">
        <f>G12+G13+G14</f>
        <v>3.642020479083</v>
      </c>
      <c r="H15" s="58">
        <f>SUM(E15:G15)</f>
        <v>4869.8970204790821</v>
      </c>
      <c r="I15" s="138"/>
      <c r="J15" s="58">
        <f>J12+J13+J14</f>
        <v>531.30953333333332</v>
      </c>
      <c r="K15" s="59">
        <f>M15-L15-J15</f>
        <v>90.388541755911547</v>
      </c>
      <c r="L15" s="57">
        <f>L12+L13+L14</f>
        <v>502.37494538983714</v>
      </c>
      <c r="M15" s="57">
        <f>H15-N15</f>
        <v>1124.0730204790821</v>
      </c>
      <c r="N15" s="58">
        <v>3745.8240000000001</v>
      </c>
    </row>
    <row r="16" spans="1:14" ht="16.5" customHeight="1" x14ac:dyDescent="0.2">
      <c r="A16" s="36" t="s">
        <v>111</v>
      </c>
      <c r="B16" s="138"/>
      <c r="C16" s="138"/>
      <c r="D16" s="138"/>
      <c r="E16" s="54"/>
      <c r="F16" s="56"/>
      <c r="G16" s="57">
        <f>(0.250128+23.870515+6.809791)*2.204622/60</f>
        <v>1.1364985877658</v>
      </c>
      <c r="H16" s="58"/>
      <c r="I16" s="138"/>
      <c r="J16" s="58">
        <f>5.513266*2000/60</f>
        <v>183.77553333333333</v>
      </c>
      <c r="K16" s="138"/>
      <c r="L16" s="57">
        <f>(167.796097+3846.683)*2.204622/60</f>
        <v>147.50681559643891</v>
      </c>
      <c r="M16" s="138"/>
      <c r="N16" s="138"/>
    </row>
    <row r="17" spans="1:14" ht="16.5" customHeight="1" x14ac:dyDescent="0.2">
      <c r="A17" s="36" t="s">
        <v>112</v>
      </c>
      <c r="B17" s="138"/>
      <c r="C17" s="138"/>
      <c r="D17" s="138"/>
      <c r="E17" s="54"/>
      <c r="F17" s="56"/>
      <c r="G17" s="57">
        <f>(1.028736+20.235107+6.406535)*2.204622/60</f>
        <v>1.0167120681185999</v>
      </c>
      <c r="H17" s="58"/>
      <c r="I17" s="138"/>
      <c r="J17" s="58">
        <f>5.492127*2000/60</f>
        <v>183.07090000000002</v>
      </c>
      <c r="K17" s="138"/>
      <c r="L17" s="57">
        <f>(84.586634+4743.657)*2.204622/60</f>
        <v>177.40753561460582</v>
      </c>
      <c r="M17" s="138"/>
      <c r="N17" s="138"/>
    </row>
    <row r="18" spans="1:14" ht="16.5" customHeight="1" x14ac:dyDescent="0.2">
      <c r="A18" s="36" t="s">
        <v>113</v>
      </c>
      <c r="B18" s="138"/>
      <c r="C18" s="138"/>
      <c r="D18" s="138"/>
      <c r="E18" s="54"/>
      <c r="F18" s="56"/>
      <c r="G18" s="57">
        <f>(0.546152+34.232142+5.00264)*2.204622/60</f>
        <v>1.4616987046158001</v>
      </c>
      <c r="H18" s="58"/>
      <c r="I18" s="138"/>
      <c r="J18" s="58">
        <f>4.883434*2000/60</f>
        <v>162.78113333333334</v>
      </c>
      <c r="K18" s="138"/>
      <c r="L18" s="57">
        <f>(56.036225+4521.322)*2.204622/60</f>
        <v>168.18907741193249</v>
      </c>
      <c r="M18" s="138"/>
      <c r="N18" s="138"/>
    </row>
    <row r="19" spans="1:14" ht="16.5" customHeight="1" x14ac:dyDescent="0.2">
      <c r="A19" s="36" t="s">
        <v>80</v>
      </c>
      <c r="B19" s="138"/>
      <c r="C19" s="138"/>
      <c r="D19" s="138"/>
      <c r="E19" s="54">
        <f>N15</f>
        <v>3745.8240000000001</v>
      </c>
      <c r="F19" s="56"/>
      <c r="G19" s="57">
        <f>SUM(G16:G18)</f>
        <v>3.6149093605001998</v>
      </c>
      <c r="H19" s="58">
        <f>E19+F19+G19</f>
        <v>3749.4389093605005</v>
      </c>
      <c r="I19" s="138"/>
      <c r="J19" s="58">
        <f>SUM(J16:J18)</f>
        <v>529.62756666666678</v>
      </c>
      <c r="K19" s="59">
        <f>M19-L19-J19</f>
        <v>-0.36108592914342807</v>
      </c>
      <c r="L19" s="57">
        <f>SUM(L16:L18)</f>
        <v>493.10342862297722</v>
      </c>
      <c r="M19" s="57">
        <f>H19-N19</f>
        <v>1022.3699093605005</v>
      </c>
      <c r="N19" s="58">
        <v>2727.069</v>
      </c>
    </row>
    <row r="20" spans="1:14" ht="16.5" customHeight="1" x14ac:dyDescent="0.2">
      <c r="A20" s="36" t="s">
        <v>114</v>
      </c>
      <c r="B20" s="138"/>
      <c r="C20" s="138"/>
      <c r="D20" s="138"/>
      <c r="E20" s="54"/>
      <c r="F20" s="56"/>
      <c r="G20" s="57">
        <v>1.4917554186527999</v>
      </c>
      <c r="H20" s="58"/>
      <c r="I20" s="138"/>
      <c r="J20" s="58">
        <f>5.383008*2000/60</f>
        <v>179.43359999999998</v>
      </c>
      <c r="K20" s="151"/>
      <c r="L20" s="57">
        <v>136.19169183827341</v>
      </c>
      <c r="M20" s="151"/>
      <c r="N20" s="138"/>
    </row>
    <row r="21" spans="1:14" ht="16.5" customHeight="1" x14ac:dyDescent="0.2">
      <c r="A21" s="36" t="s">
        <v>115</v>
      </c>
      <c r="B21" s="138"/>
      <c r="C21" s="138"/>
      <c r="D21" s="138"/>
      <c r="E21" s="54"/>
      <c r="F21" s="56"/>
      <c r="G21" s="57">
        <f>(9.421895+24.904466+8.271368)*2.204622/60</f>
        <v>1.5651981750573001</v>
      </c>
      <c r="H21" s="58"/>
      <c r="I21" s="138"/>
      <c r="J21" s="58">
        <f>5.146403*2000/60</f>
        <v>171.54676666666668</v>
      </c>
      <c r="K21" s="62"/>
      <c r="L21" s="57">
        <f>(114.437871+2284.81)*2.204622/60</f>
        <v>88.157243997662718</v>
      </c>
      <c r="M21" s="57"/>
      <c r="N21" s="138"/>
    </row>
    <row r="22" spans="1:14" ht="16.5" customHeight="1" x14ac:dyDescent="0.2">
      <c r="A22" s="36" t="s">
        <v>116</v>
      </c>
      <c r="B22" s="138"/>
      <c r="C22" s="138"/>
      <c r="D22" s="138"/>
      <c r="E22" s="54"/>
      <c r="F22" s="56"/>
      <c r="G22" s="57">
        <f>(3.384561+5.982905+8.068079)*2.204622/60</f>
        <v>0.64064643481650008</v>
      </c>
      <c r="H22" s="58"/>
      <c r="I22" s="138"/>
      <c r="J22" s="58">
        <f>4.963271*2000/60</f>
        <v>165.44236666666666</v>
      </c>
      <c r="K22" s="62"/>
      <c r="L22" s="57">
        <f>(46.958948+2513.478)*2.204622/60</f>
        <v>94.079927086227599</v>
      </c>
      <c r="M22" s="57"/>
      <c r="N22" s="138"/>
    </row>
    <row r="23" spans="1:14" ht="16.5" customHeight="1" x14ac:dyDescent="0.2">
      <c r="A23" s="36" t="s">
        <v>81</v>
      </c>
      <c r="B23" s="39"/>
      <c r="C23" s="39"/>
      <c r="D23" s="39"/>
      <c r="E23" s="54">
        <f>N19</f>
        <v>2727.069</v>
      </c>
      <c r="F23" s="61"/>
      <c r="G23" s="57">
        <f>SUM(G20:G22)</f>
        <v>3.6976000285265997</v>
      </c>
      <c r="H23" s="58">
        <f>E23+F23+G23</f>
        <v>2730.7666000285267</v>
      </c>
      <c r="I23" s="58"/>
      <c r="J23" s="58">
        <f>SUM(J20:J22)</f>
        <v>516.42273333333333</v>
      </c>
      <c r="K23" s="62">
        <f>M23-L23-J23</f>
        <v>112.83500377302971</v>
      </c>
      <c r="L23" s="57">
        <f>SUM(L20:L22)</f>
        <v>318.42886292216372</v>
      </c>
      <c r="M23" s="57">
        <f>H23-N23</f>
        <v>947.68660002852675</v>
      </c>
      <c r="N23" s="58">
        <v>1783.08</v>
      </c>
    </row>
    <row r="24" spans="1:14" ht="16.5" customHeight="1" x14ac:dyDescent="0.2">
      <c r="A24" s="36" t="s">
        <v>65</v>
      </c>
      <c r="B24" s="39"/>
      <c r="C24" s="39"/>
      <c r="D24" s="39"/>
      <c r="E24" s="54"/>
      <c r="F24" s="61"/>
      <c r="G24" s="57">
        <f>(3.38003+9.702628+7.332598)*2.204622/60</f>
        <v>0.75013204188720006</v>
      </c>
      <c r="H24" s="58"/>
      <c r="I24" s="58"/>
      <c r="J24" s="58">
        <f>4.729137*2000/60</f>
        <v>157.6379</v>
      </c>
      <c r="K24" s="62"/>
      <c r="L24" s="57">
        <f>(32.219152+3161.333)*2.204622/60</f>
        <v>117.34292220744241</v>
      </c>
      <c r="M24" s="57"/>
      <c r="N24" s="58"/>
    </row>
    <row r="25" spans="1:14" ht="16.5" customHeight="1" x14ac:dyDescent="0.2">
      <c r="A25" s="36" t="s">
        <v>67</v>
      </c>
      <c r="B25" s="39"/>
      <c r="C25" s="39"/>
      <c r="D25" s="39"/>
      <c r="E25" s="54"/>
      <c r="F25" s="61"/>
      <c r="G25" s="57">
        <f>(1.66402+25.915482+8.047651)*2.204622/60</f>
        <v>1.3090734216861002</v>
      </c>
      <c r="H25" s="58"/>
      <c r="I25" s="58"/>
      <c r="J25" s="58">
        <f>5.383896*2000/60</f>
        <v>179.4632</v>
      </c>
      <c r="K25" s="62"/>
      <c r="L25" s="57">
        <f>(36.320121+3644.11)*2.204622/60</f>
        <v>135.23262023698771</v>
      </c>
      <c r="M25" s="57"/>
      <c r="N25" s="58"/>
    </row>
    <row r="26" spans="1:14" ht="16.5" customHeight="1" x14ac:dyDescent="0.2">
      <c r="A26" s="36" t="s">
        <v>68</v>
      </c>
      <c r="B26" s="39"/>
      <c r="C26" s="39"/>
      <c r="D26" s="39"/>
      <c r="E26" s="54"/>
      <c r="F26" s="61"/>
      <c r="G26" s="57">
        <f>(0.527584+21.950544+6.237849)*2.204622/60</f>
        <v>1.0551312440949001</v>
      </c>
      <c r="H26" s="58"/>
      <c r="I26" s="58"/>
      <c r="J26" s="58">
        <f>5.320183*2000/60</f>
        <v>177.33943333333335</v>
      </c>
      <c r="K26" s="62"/>
      <c r="L26" s="57">
        <f>(50.293572+4880.876)*2.204622/60</f>
        <v>181.1894154026964</v>
      </c>
      <c r="M26" s="57"/>
      <c r="N26" s="58"/>
    </row>
    <row r="27" spans="1:14" ht="16.5" customHeight="1" x14ac:dyDescent="0.2">
      <c r="A27" s="63" t="s">
        <v>82</v>
      </c>
      <c r="B27" s="39"/>
      <c r="C27" s="39"/>
      <c r="D27" s="39"/>
      <c r="E27" s="54">
        <f>N23</f>
        <v>1783.08</v>
      </c>
      <c r="F27" s="61"/>
      <c r="G27" s="57">
        <f>SUM(G24:G26)</f>
        <v>3.1143367076682003</v>
      </c>
      <c r="H27" s="58">
        <f>SUM(E27:G27)</f>
        <v>1786.1943367076681</v>
      </c>
      <c r="I27" s="58"/>
      <c r="J27" s="58">
        <f>SUM(J24:J26)</f>
        <v>514.44053333333329</v>
      </c>
      <c r="K27" s="62">
        <f>M27-L27-J27</f>
        <v>-75.065154472791733</v>
      </c>
      <c r="L27" s="57">
        <f>SUM(L24:L26)</f>
        <v>433.76495784712654</v>
      </c>
      <c r="M27" s="57">
        <f>+H27-N27</f>
        <v>873.1403367076681</v>
      </c>
      <c r="N27" s="58">
        <v>913.05399999999997</v>
      </c>
    </row>
    <row r="28" spans="1:14" ht="16.5" customHeight="1" x14ac:dyDescent="0.2">
      <c r="A28" s="36" t="s">
        <v>3</v>
      </c>
      <c r="B28" s="138"/>
      <c r="C28" s="138"/>
      <c r="D28" s="138"/>
      <c r="E28" s="54"/>
      <c r="F28" s="56">
        <f>F15</f>
        <v>4428.1499999999996</v>
      </c>
      <c r="G28" s="57">
        <f>G15+G19+G23+G27</f>
        <v>14.068866575777999</v>
      </c>
      <c r="H28" s="58">
        <f>E15+F28+G28</f>
        <v>4880.3238665757772</v>
      </c>
      <c r="I28" s="138"/>
      <c r="J28" s="58">
        <f>J15+J19+J23+J27</f>
        <v>2091.8003666666668</v>
      </c>
      <c r="K28" s="59">
        <f>K15+K19+K23+K27</f>
        <v>127.7973051270061</v>
      </c>
      <c r="L28" s="57">
        <f>L15+L19+L23+L27</f>
        <v>1747.6721947821047</v>
      </c>
      <c r="M28" s="57">
        <f t="shared" ref="M28" si="4">M15+M19+M23</f>
        <v>3094.1295298681093</v>
      </c>
      <c r="N28" s="58"/>
    </row>
    <row r="29" spans="1:14" ht="16.5" customHeight="1" x14ac:dyDescent="0.2">
      <c r="A29" s="39"/>
      <c r="B29" s="138"/>
      <c r="C29" s="138"/>
      <c r="D29" s="138"/>
      <c r="E29" s="138"/>
      <c r="F29" s="66"/>
      <c r="G29" s="57"/>
      <c r="H29" s="58"/>
      <c r="I29" s="151"/>
      <c r="J29" s="58"/>
      <c r="K29" s="58"/>
      <c r="L29" s="57"/>
      <c r="M29" s="57"/>
      <c r="N29" s="138"/>
    </row>
    <row r="30" spans="1:14" ht="16.5" customHeight="1" x14ac:dyDescent="0.2">
      <c r="A30" s="36" t="s">
        <v>167</v>
      </c>
      <c r="B30" s="138"/>
      <c r="C30" s="138"/>
      <c r="D30" s="138"/>
      <c r="E30" s="138"/>
      <c r="F30" s="138"/>
      <c r="G30" s="57"/>
      <c r="H30" s="58"/>
      <c r="I30" s="151"/>
      <c r="J30" s="58"/>
      <c r="K30" s="58"/>
      <c r="L30" s="57"/>
      <c r="M30" s="57"/>
      <c r="N30" s="138"/>
    </row>
    <row r="31" spans="1:14" ht="16.5" customHeight="1" x14ac:dyDescent="0.2">
      <c r="A31" s="39" t="s">
        <v>102</v>
      </c>
      <c r="B31" s="138"/>
      <c r="C31" s="138"/>
      <c r="D31" s="138"/>
      <c r="G31" s="57">
        <f>(0.61606+25.576332+5.722113)*2.204622/60</f>
        <v>1.1726569973684999</v>
      </c>
      <c r="I31" s="138"/>
      <c r="J31" s="58">
        <f>4.870034*2000/60</f>
        <v>162.33446666666669</v>
      </c>
      <c r="K31" s="59"/>
      <c r="L31" s="57">
        <f>(34.198907+3855.793)*2.204622/60</f>
        <v>142.93269563323591</v>
      </c>
      <c r="M31" s="57"/>
      <c r="N31" s="58"/>
    </row>
    <row r="32" spans="1:14" ht="16.5" customHeight="1" x14ac:dyDescent="0.2">
      <c r="A32" s="39" t="s">
        <v>108</v>
      </c>
      <c r="B32" s="138"/>
      <c r="C32" s="138"/>
      <c r="D32" s="138"/>
      <c r="E32" s="54"/>
      <c r="F32" s="56"/>
      <c r="G32" s="57">
        <f>(1.044818+37.412542+15.260051)*2.204622/60</f>
        <v>1.9737764345607001</v>
      </c>
      <c r="H32" s="58"/>
      <c r="I32" s="138"/>
      <c r="J32" s="58">
        <f>5.615616*2000/60</f>
        <v>187.18719999999999</v>
      </c>
      <c r="K32" s="59"/>
      <c r="L32" s="57">
        <f>(31.539146+5913.059)*2.204622/60</f>
        <v>218.42653089718021</v>
      </c>
      <c r="M32" s="57"/>
      <c r="N32" s="58"/>
    </row>
    <row r="33" spans="1:73" ht="16.5" customHeight="1" x14ac:dyDescent="0.2">
      <c r="A33" s="39" t="s">
        <v>161</v>
      </c>
      <c r="B33" s="138"/>
      <c r="C33" s="138"/>
      <c r="D33" s="138"/>
      <c r="E33" s="54">
        <f>N27</f>
        <v>913.05399999999997</v>
      </c>
      <c r="F33" s="56">
        <f>3549.977</f>
        <v>3549.9769999999999</v>
      </c>
      <c r="G33" s="57">
        <f>SUM(G31:G32)</f>
        <v>3.1464334319292</v>
      </c>
      <c r="H33" s="58">
        <f>E33+F33+G33</f>
        <v>4466.1774334319289</v>
      </c>
      <c r="I33" s="138"/>
      <c r="J33" s="58">
        <f t="shared" ref="J33:L33" si="5">SUM(J31:J32)</f>
        <v>349.52166666666665</v>
      </c>
      <c r="K33" s="59"/>
      <c r="L33" s="57">
        <f t="shared" si="5"/>
        <v>361.35922653041609</v>
      </c>
      <c r="M33" s="57"/>
      <c r="N33" s="58"/>
    </row>
    <row r="34" spans="1:73" ht="16.5" customHeight="1" x14ac:dyDescent="0.2">
      <c r="A34" s="35"/>
      <c r="B34" s="129"/>
      <c r="C34" s="129"/>
      <c r="D34" s="129"/>
      <c r="E34" s="129"/>
      <c r="F34" s="144"/>
      <c r="G34" s="64"/>
      <c r="H34" s="131"/>
      <c r="I34" s="152"/>
      <c r="J34" s="131"/>
      <c r="K34" s="131"/>
      <c r="L34" s="64"/>
      <c r="M34" s="64"/>
      <c r="N34" s="129"/>
    </row>
    <row r="35" spans="1:73" ht="16.5" customHeight="1" x14ac:dyDescent="0.2">
      <c r="A35" s="65" t="s">
        <v>163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66"/>
      <c r="M35" s="39"/>
      <c r="N35" s="39"/>
    </row>
    <row r="36" spans="1:73" ht="16.5" customHeight="1" x14ac:dyDescent="0.2">
      <c r="A36" s="36" t="s">
        <v>122</v>
      </c>
      <c r="B36" s="36"/>
      <c r="C36" s="36"/>
      <c r="D36" s="36"/>
      <c r="E36" s="67"/>
      <c r="F36" s="67"/>
      <c r="G36" s="67"/>
      <c r="H36" s="67"/>
      <c r="I36" s="67"/>
      <c r="J36" s="67"/>
      <c r="K36" s="67"/>
      <c r="L36" s="67"/>
      <c r="M36" s="67"/>
      <c r="N36" s="67"/>
    </row>
    <row r="37" spans="1:73" ht="16.5" customHeight="1" x14ac:dyDescent="0.2">
      <c r="A37" s="68" t="s">
        <v>77</v>
      </c>
      <c r="B37" s="36"/>
      <c r="C37" s="36"/>
      <c r="D37" s="36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</row>
    <row r="38" spans="1:73" ht="16.5" customHeight="1" x14ac:dyDescent="0.2">
      <c r="A38" s="40" t="s">
        <v>26</v>
      </c>
      <c r="B38" s="69">
        <f ca="1">NOW()</f>
        <v>43811.378525810185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</row>
    <row r="39" spans="1:73" x14ac:dyDescent="0.2"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</row>
    <row r="40" spans="1:73" x14ac:dyDescent="0.2"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</row>
    <row r="41" spans="1:73" x14ac:dyDescent="0.2"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</row>
    <row r="42" spans="1:73" x14ac:dyDescent="0.2">
      <c r="F42" s="15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</row>
    <row r="43" spans="1:73" x14ac:dyDescent="0.2"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</row>
    <row r="44" spans="1:73" x14ac:dyDescent="0.2"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</row>
    <row r="45" spans="1:73" x14ac:dyDescent="0.2"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</row>
    <row r="46" spans="1:73" x14ac:dyDescent="0.2"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</row>
    <row r="47" spans="1:73" x14ac:dyDescent="0.2"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</row>
    <row r="48" spans="1:73" x14ac:dyDescent="0.2"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</row>
    <row r="49" spans="15:73" x14ac:dyDescent="0.2"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</row>
    <row r="50" spans="15:73" x14ac:dyDescent="0.2"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</row>
    <row r="51" spans="15:73" x14ac:dyDescent="0.2"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</row>
    <row r="52" spans="15:73" x14ac:dyDescent="0.2"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</row>
    <row r="53" spans="15:73" x14ac:dyDescent="0.2"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</row>
    <row r="54" spans="15:73" x14ac:dyDescent="0.2"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</row>
    <row r="55" spans="15:73" x14ac:dyDescent="0.2"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</row>
    <row r="56" spans="15:73" x14ac:dyDescent="0.2"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</row>
    <row r="57" spans="15:73" x14ac:dyDescent="0.2"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</row>
    <row r="58" spans="15:73" x14ac:dyDescent="0.2"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</row>
    <row r="59" spans="15:73" x14ac:dyDescent="0.2"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0" spans="15:73" x14ac:dyDescent="0.2"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</row>
    <row r="61" spans="15:73" x14ac:dyDescent="0.2"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</row>
    <row r="62" spans="15:73" x14ac:dyDescent="0.2"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</row>
    <row r="63" spans="15:73" x14ac:dyDescent="0.2"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</row>
    <row r="64" spans="15:73" x14ac:dyDescent="0.2"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</row>
    <row r="65" spans="15:73" x14ac:dyDescent="0.2"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</row>
    <row r="66" spans="15:73" x14ac:dyDescent="0.2"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</row>
    <row r="67" spans="15:73" x14ac:dyDescent="0.2"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</row>
    <row r="68" spans="15:73" x14ac:dyDescent="0.2"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</row>
    <row r="69" spans="15:73" x14ac:dyDescent="0.2"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</row>
    <row r="70" spans="15:73" x14ac:dyDescent="0.2"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</row>
    <row r="71" spans="15:73" x14ac:dyDescent="0.2"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</row>
    <row r="72" spans="15:73" x14ac:dyDescent="0.2"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</row>
    <row r="73" spans="15:73" x14ac:dyDescent="0.2"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</row>
    <row r="74" spans="15:73" x14ac:dyDescent="0.2"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</row>
    <row r="75" spans="15:73" x14ac:dyDescent="0.2"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</row>
    <row r="76" spans="15:73" x14ac:dyDescent="0.2"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</row>
    <row r="77" spans="15:73" x14ac:dyDescent="0.2"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</row>
    <row r="78" spans="15:73" x14ac:dyDescent="0.2"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</row>
    <row r="79" spans="15:73" x14ac:dyDescent="0.2"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</row>
    <row r="80" spans="15:73" x14ac:dyDescent="0.2"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</row>
    <row r="81" spans="15:73" x14ac:dyDescent="0.2"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</row>
    <row r="82" spans="15:73" x14ac:dyDescent="0.2"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</row>
    <row r="83" spans="15:73" x14ac:dyDescent="0.2"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</row>
    <row r="84" spans="15:73" x14ac:dyDescent="0.2"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</row>
    <row r="85" spans="15:73" x14ac:dyDescent="0.2"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</row>
    <row r="86" spans="15:73" x14ac:dyDescent="0.2"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</row>
    <row r="87" spans="15:73" x14ac:dyDescent="0.2"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</row>
    <row r="88" spans="15:73" x14ac:dyDescent="0.2"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</row>
    <row r="89" spans="15:73" x14ac:dyDescent="0.2"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</row>
    <row r="90" spans="15:73" x14ac:dyDescent="0.2"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</row>
    <row r="91" spans="15:73" x14ac:dyDescent="0.2"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</row>
    <row r="92" spans="15:73" x14ac:dyDescent="0.2"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</row>
    <row r="93" spans="15:73" x14ac:dyDescent="0.2"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</row>
    <row r="94" spans="15:73" x14ac:dyDescent="0.2"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</row>
    <row r="95" spans="15:73" x14ac:dyDescent="0.2"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</row>
    <row r="96" spans="15:73" x14ac:dyDescent="0.2"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</row>
    <row r="97" spans="15:73" x14ac:dyDescent="0.2"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</row>
    <row r="98" spans="15:73" x14ac:dyDescent="0.2"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</row>
    <row r="99" spans="15:73" x14ac:dyDescent="0.2"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</row>
    <row r="100" spans="15:73" x14ac:dyDescent="0.2"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</row>
    <row r="101" spans="15:73" x14ac:dyDescent="0.2"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</row>
    <row r="102" spans="15:73" x14ac:dyDescent="0.2"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</row>
    <row r="103" spans="15:73" x14ac:dyDescent="0.2"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</row>
    <row r="104" spans="15:73" x14ac:dyDescent="0.2"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</row>
    <row r="105" spans="15:73" x14ac:dyDescent="0.2"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</row>
    <row r="106" spans="15:73" x14ac:dyDescent="0.2"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</row>
    <row r="107" spans="15:73" x14ac:dyDescent="0.2"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</row>
    <row r="108" spans="15:73" x14ac:dyDescent="0.2"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</row>
    <row r="109" spans="15:73" x14ac:dyDescent="0.2"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</row>
    <row r="110" spans="15:73" x14ac:dyDescent="0.2"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</row>
    <row r="111" spans="15:73" x14ac:dyDescent="0.2"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</row>
    <row r="112" spans="15:73" x14ac:dyDescent="0.2"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</row>
    <row r="113" spans="15:73" x14ac:dyDescent="0.2"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</row>
    <row r="114" spans="15:73" x14ac:dyDescent="0.2"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</row>
    <row r="115" spans="15:73" x14ac:dyDescent="0.2"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</row>
    <row r="116" spans="15:73" x14ac:dyDescent="0.2"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</row>
    <row r="117" spans="15:73" x14ac:dyDescent="0.2"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</row>
    <row r="118" spans="15:73" x14ac:dyDescent="0.2"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</row>
    <row r="119" spans="15:73" x14ac:dyDescent="0.2"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</row>
    <row r="120" spans="15:73" x14ac:dyDescent="0.2"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</row>
    <row r="121" spans="15:73" x14ac:dyDescent="0.2"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</row>
    <row r="122" spans="15:73" x14ac:dyDescent="0.2"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</row>
    <row r="123" spans="15:73" x14ac:dyDescent="0.2"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</row>
    <row r="124" spans="15:73" x14ac:dyDescent="0.2"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</row>
    <row r="125" spans="15:73" x14ac:dyDescent="0.2"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</row>
    <row r="126" spans="15:73" x14ac:dyDescent="0.2"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</row>
    <row r="127" spans="15:73" x14ac:dyDescent="0.2"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</row>
    <row r="128" spans="15:73" x14ac:dyDescent="0.2"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</row>
    <row r="129" spans="15:73" x14ac:dyDescent="0.2"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</row>
    <row r="130" spans="15:73" x14ac:dyDescent="0.2"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</row>
    <row r="131" spans="15:73" x14ac:dyDescent="0.2"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</row>
    <row r="132" spans="15:73" x14ac:dyDescent="0.2"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</row>
    <row r="133" spans="15:73" x14ac:dyDescent="0.2"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</row>
    <row r="134" spans="15:73" x14ac:dyDescent="0.2"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</row>
    <row r="135" spans="15:73" x14ac:dyDescent="0.2"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</row>
    <row r="136" spans="15:73" x14ac:dyDescent="0.2"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</row>
    <row r="137" spans="15:73" x14ac:dyDescent="0.2"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</row>
    <row r="138" spans="15:73" x14ac:dyDescent="0.2"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</row>
    <row r="139" spans="15:73" x14ac:dyDescent="0.2"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</row>
    <row r="140" spans="15:73" x14ac:dyDescent="0.2"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</row>
    <row r="141" spans="15:73" x14ac:dyDescent="0.2"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</row>
    <row r="142" spans="15:73" x14ac:dyDescent="0.2"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</row>
    <row r="143" spans="15:73" x14ac:dyDescent="0.2"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</row>
    <row r="144" spans="15:73" x14ac:dyDescent="0.2"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</row>
    <row r="145" spans="15:73" x14ac:dyDescent="0.2"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</row>
    <row r="146" spans="15:73" x14ac:dyDescent="0.2"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</row>
    <row r="147" spans="15:73" x14ac:dyDescent="0.2"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</row>
    <row r="148" spans="15:73" x14ac:dyDescent="0.2"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</row>
    <row r="149" spans="15:73" x14ac:dyDescent="0.2"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</row>
    <row r="150" spans="15:73" x14ac:dyDescent="0.2"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</row>
    <row r="151" spans="15:73" x14ac:dyDescent="0.2"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</row>
    <row r="152" spans="15:73" x14ac:dyDescent="0.2"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</row>
    <row r="153" spans="15:73" x14ac:dyDescent="0.2"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</row>
    <row r="154" spans="15:73" x14ac:dyDescent="0.2"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</row>
    <row r="155" spans="15:73" x14ac:dyDescent="0.2"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</row>
    <row r="156" spans="15:73" x14ac:dyDescent="0.2"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</row>
    <row r="157" spans="15:73" x14ac:dyDescent="0.2"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</row>
    <row r="158" spans="15:73" x14ac:dyDescent="0.2"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</row>
    <row r="159" spans="15:73" x14ac:dyDescent="0.2"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</row>
    <row r="160" spans="15:73" x14ac:dyDescent="0.2"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</row>
    <row r="161" spans="15:73" x14ac:dyDescent="0.2"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</row>
    <row r="162" spans="15:73" x14ac:dyDescent="0.2"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</row>
    <row r="163" spans="15:73" x14ac:dyDescent="0.2"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</row>
    <row r="164" spans="15:73" x14ac:dyDescent="0.2"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</row>
    <row r="165" spans="15:73" x14ac:dyDescent="0.2"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</row>
    <row r="166" spans="15:73" x14ac:dyDescent="0.2"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</row>
    <row r="167" spans="15:73" x14ac:dyDescent="0.2"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</row>
    <row r="168" spans="15:73" x14ac:dyDescent="0.2"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</row>
    <row r="169" spans="15:73" x14ac:dyDescent="0.2"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</row>
    <row r="170" spans="15:73" x14ac:dyDescent="0.2"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</row>
    <row r="171" spans="15:73" x14ac:dyDescent="0.2"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</row>
    <row r="172" spans="15:73" x14ac:dyDescent="0.2"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</row>
    <row r="173" spans="15:73" x14ac:dyDescent="0.2"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</row>
    <row r="174" spans="15:73" x14ac:dyDescent="0.2"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</row>
    <row r="175" spans="15:73" x14ac:dyDescent="0.2"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</row>
    <row r="176" spans="15:73" x14ac:dyDescent="0.2"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</row>
    <row r="177" spans="15:73" x14ac:dyDescent="0.2"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</row>
    <row r="178" spans="15:73" x14ac:dyDescent="0.2"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</row>
    <row r="179" spans="15:73" x14ac:dyDescent="0.2"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</row>
    <row r="180" spans="15:73" x14ac:dyDescent="0.2"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</row>
    <row r="181" spans="15:73" x14ac:dyDescent="0.2"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</row>
    <row r="182" spans="15:73" x14ac:dyDescent="0.2"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</row>
    <row r="183" spans="15:73" x14ac:dyDescent="0.2"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</row>
    <row r="184" spans="15:73" x14ac:dyDescent="0.2"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</row>
    <row r="185" spans="15:73" x14ac:dyDescent="0.2"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</row>
    <row r="186" spans="15:73" x14ac:dyDescent="0.2"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</row>
    <row r="187" spans="15:73" x14ac:dyDescent="0.2"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</row>
    <row r="188" spans="15:73" x14ac:dyDescent="0.2"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</row>
    <row r="189" spans="15:73" x14ac:dyDescent="0.2"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</row>
    <row r="190" spans="15:73" x14ac:dyDescent="0.2"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</row>
    <row r="191" spans="15:73" x14ac:dyDescent="0.2"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</row>
    <row r="192" spans="15:73" x14ac:dyDescent="0.2"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</row>
    <row r="193" spans="15:73" x14ac:dyDescent="0.2"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</row>
    <row r="194" spans="15:73" x14ac:dyDescent="0.2"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</row>
    <row r="195" spans="15:73" x14ac:dyDescent="0.2"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</row>
    <row r="196" spans="15:73" x14ac:dyDescent="0.2"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</row>
    <row r="197" spans="15:73" x14ac:dyDescent="0.2"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</row>
    <row r="198" spans="15:73" x14ac:dyDescent="0.2"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</row>
    <row r="199" spans="15:73" x14ac:dyDescent="0.2"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</row>
    <row r="200" spans="15:73" x14ac:dyDescent="0.2"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</row>
    <row r="201" spans="15:73" x14ac:dyDescent="0.2"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</row>
    <row r="202" spans="15:73" x14ac:dyDescent="0.2"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</row>
    <row r="203" spans="15:73" x14ac:dyDescent="0.2"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</row>
    <row r="204" spans="15:73" x14ac:dyDescent="0.2"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</row>
    <row r="205" spans="15:73" x14ac:dyDescent="0.2"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</row>
    <row r="206" spans="15:73" x14ac:dyDescent="0.2"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</row>
    <row r="207" spans="15:73" x14ac:dyDescent="0.2"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</row>
    <row r="208" spans="15:73" x14ac:dyDescent="0.2"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</row>
    <row r="209" spans="15:73" x14ac:dyDescent="0.2"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</row>
    <row r="210" spans="15:73" x14ac:dyDescent="0.2"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</row>
    <row r="211" spans="15:73" x14ac:dyDescent="0.2"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</row>
    <row r="212" spans="15:73" x14ac:dyDescent="0.2"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</row>
    <row r="213" spans="15:73" x14ac:dyDescent="0.2"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</row>
    <row r="214" spans="15:73" x14ac:dyDescent="0.2"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</row>
    <row r="215" spans="15:73" x14ac:dyDescent="0.2"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</row>
    <row r="216" spans="15:73" x14ac:dyDescent="0.2"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</row>
    <row r="217" spans="15:73" x14ac:dyDescent="0.2"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</row>
    <row r="218" spans="15:73" x14ac:dyDescent="0.2"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</row>
    <row r="219" spans="15:73" x14ac:dyDescent="0.2"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</row>
    <row r="220" spans="15:73" x14ac:dyDescent="0.2"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</row>
    <row r="221" spans="15:73" x14ac:dyDescent="0.2"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</row>
    <row r="222" spans="15:73" x14ac:dyDescent="0.2"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</row>
    <row r="223" spans="15:73" x14ac:dyDescent="0.2"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</row>
    <row r="224" spans="15:73" x14ac:dyDescent="0.2"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</row>
    <row r="225" spans="15:73" x14ac:dyDescent="0.2"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</row>
    <row r="226" spans="15:73" x14ac:dyDescent="0.2"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</row>
    <row r="227" spans="15:73" x14ac:dyDescent="0.2"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</row>
    <row r="228" spans="15:73" x14ac:dyDescent="0.2"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</row>
    <row r="229" spans="15:73" x14ac:dyDescent="0.2"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</row>
    <row r="230" spans="15:73" x14ac:dyDescent="0.2"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</row>
    <row r="231" spans="15:73" x14ac:dyDescent="0.2"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</row>
    <row r="232" spans="15:73" x14ac:dyDescent="0.2"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</row>
    <row r="233" spans="15:73" x14ac:dyDescent="0.2"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</row>
    <row r="234" spans="15:73" x14ac:dyDescent="0.2"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</row>
    <row r="235" spans="15:73" x14ac:dyDescent="0.2"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</row>
    <row r="236" spans="15:73" x14ac:dyDescent="0.2"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</row>
    <row r="237" spans="15:73" x14ac:dyDescent="0.2"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</row>
    <row r="238" spans="15:73" x14ac:dyDescent="0.2"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</row>
    <row r="239" spans="15:73" x14ac:dyDescent="0.2"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</row>
    <row r="240" spans="15:73" x14ac:dyDescent="0.2"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</row>
    <row r="241" spans="15:73" x14ac:dyDescent="0.2"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</row>
    <row r="242" spans="15:73" x14ac:dyDescent="0.2"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</row>
    <row r="243" spans="15:73" x14ac:dyDescent="0.2"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</row>
    <row r="244" spans="15:73" x14ac:dyDescent="0.2"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</row>
    <row r="245" spans="15:73" x14ac:dyDescent="0.2"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</row>
    <row r="246" spans="15:73" x14ac:dyDescent="0.2"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</row>
    <row r="247" spans="15:73" x14ac:dyDescent="0.2"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</row>
    <row r="248" spans="15:73" x14ac:dyDescent="0.2"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</row>
    <row r="249" spans="15:73" x14ac:dyDescent="0.2"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</row>
    <row r="250" spans="15:73" x14ac:dyDescent="0.2"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</row>
    <row r="251" spans="15:73" x14ac:dyDescent="0.2"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</row>
    <row r="252" spans="15:73" x14ac:dyDescent="0.2"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</row>
    <row r="253" spans="15:73" x14ac:dyDescent="0.2"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</row>
    <row r="254" spans="15:73" x14ac:dyDescent="0.2"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</row>
    <row r="255" spans="15:73" x14ac:dyDescent="0.2"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</row>
    <row r="256" spans="15:73" x14ac:dyDescent="0.2"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</row>
    <row r="257" spans="15:73" x14ac:dyDescent="0.2"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</row>
    <row r="258" spans="15:73" x14ac:dyDescent="0.2"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</row>
    <row r="259" spans="15:73" x14ac:dyDescent="0.2"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</row>
    <row r="260" spans="15:73" x14ac:dyDescent="0.2"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</row>
    <row r="261" spans="15:73" x14ac:dyDescent="0.2"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</row>
    <row r="262" spans="15:73" x14ac:dyDescent="0.2"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</row>
    <row r="263" spans="15:73" x14ac:dyDescent="0.2"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</row>
    <row r="264" spans="15:73" x14ac:dyDescent="0.2"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</row>
    <row r="265" spans="15:73" x14ac:dyDescent="0.2"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</row>
    <row r="266" spans="15:73" x14ac:dyDescent="0.2"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</row>
    <row r="267" spans="15:73" x14ac:dyDescent="0.2"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</row>
    <row r="268" spans="15:73" x14ac:dyDescent="0.2"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</row>
    <row r="269" spans="15:73" x14ac:dyDescent="0.2"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</row>
    <row r="270" spans="15:73" x14ac:dyDescent="0.2"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</row>
    <row r="271" spans="15:73" x14ac:dyDescent="0.2"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</row>
    <row r="272" spans="15:73" x14ac:dyDescent="0.2"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</row>
    <row r="273" spans="15:73" x14ac:dyDescent="0.2"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</row>
    <row r="274" spans="15:73" x14ac:dyDescent="0.2"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</row>
    <row r="275" spans="15:73" x14ac:dyDescent="0.2"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</row>
    <row r="276" spans="15:73" x14ac:dyDescent="0.2"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</row>
    <row r="277" spans="15:73" x14ac:dyDescent="0.2"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</row>
    <row r="278" spans="15:73" x14ac:dyDescent="0.2"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</row>
    <row r="279" spans="15:73" x14ac:dyDescent="0.2"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</row>
    <row r="280" spans="15:73" x14ac:dyDescent="0.2"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</row>
    <row r="281" spans="15:73" x14ac:dyDescent="0.2"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</row>
    <row r="282" spans="15:73" x14ac:dyDescent="0.2"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</row>
    <row r="283" spans="15:73" x14ac:dyDescent="0.2"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</row>
    <row r="284" spans="15:73" x14ac:dyDescent="0.2"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</row>
    <row r="285" spans="15:73" x14ac:dyDescent="0.2"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</row>
    <row r="286" spans="15:73" x14ac:dyDescent="0.2"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</row>
    <row r="287" spans="15:73" x14ac:dyDescent="0.2"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</row>
    <row r="288" spans="15:73" x14ac:dyDescent="0.2"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</row>
    <row r="289" spans="15:73" x14ac:dyDescent="0.2"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</row>
    <row r="290" spans="15:73" x14ac:dyDescent="0.2"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</row>
    <row r="291" spans="15:73" x14ac:dyDescent="0.2"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</row>
    <row r="292" spans="15:73" x14ac:dyDescent="0.2"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</row>
    <row r="293" spans="15:73" x14ac:dyDescent="0.2"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</row>
    <row r="294" spans="15:73" x14ac:dyDescent="0.2"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</row>
    <row r="295" spans="15:73" x14ac:dyDescent="0.2"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</row>
    <row r="296" spans="15:73" x14ac:dyDescent="0.2"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</row>
    <row r="297" spans="15:73" x14ac:dyDescent="0.2"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</row>
    <row r="298" spans="15:73" x14ac:dyDescent="0.2"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</row>
    <row r="299" spans="15:73" x14ac:dyDescent="0.2"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</row>
    <row r="300" spans="15:73" x14ac:dyDescent="0.2"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</row>
    <row r="301" spans="15:73" x14ac:dyDescent="0.2"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</row>
    <row r="302" spans="15:73" x14ac:dyDescent="0.2"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</row>
    <row r="303" spans="15:73" x14ac:dyDescent="0.2"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</row>
    <row r="304" spans="15:73" x14ac:dyDescent="0.2"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</row>
    <row r="305" spans="15:73" x14ac:dyDescent="0.2"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</row>
    <row r="306" spans="15:73" x14ac:dyDescent="0.2"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</row>
    <row r="307" spans="15:73" x14ac:dyDescent="0.2"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</row>
    <row r="308" spans="15:73" x14ac:dyDescent="0.2"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</row>
    <row r="309" spans="15:73" x14ac:dyDescent="0.2"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</row>
    <row r="310" spans="15:73" x14ac:dyDescent="0.2"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</row>
    <row r="311" spans="15:73" x14ac:dyDescent="0.2"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</row>
    <row r="312" spans="15:73" x14ac:dyDescent="0.2"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</row>
    <row r="313" spans="15:73" x14ac:dyDescent="0.2"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</row>
    <row r="314" spans="15:73" x14ac:dyDescent="0.2"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</row>
    <row r="315" spans="15:73" x14ac:dyDescent="0.2"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</row>
    <row r="316" spans="15:73" x14ac:dyDescent="0.2"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</row>
    <row r="317" spans="15:73" x14ac:dyDescent="0.2"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</row>
    <row r="318" spans="15:73" x14ac:dyDescent="0.2"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</row>
    <row r="319" spans="15:73" x14ac:dyDescent="0.2"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</row>
    <row r="320" spans="15:73" x14ac:dyDescent="0.2"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</row>
    <row r="321" spans="15:73" x14ac:dyDescent="0.2"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</row>
    <row r="322" spans="15:73" x14ac:dyDescent="0.2"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</row>
    <row r="323" spans="15:73" x14ac:dyDescent="0.2"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</row>
    <row r="324" spans="15:73" x14ac:dyDescent="0.2"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</row>
    <row r="325" spans="15:73" x14ac:dyDescent="0.2"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</row>
    <row r="326" spans="15:73" x14ac:dyDescent="0.2"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</row>
    <row r="327" spans="15:73" x14ac:dyDescent="0.2"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</row>
    <row r="328" spans="15:73" x14ac:dyDescent="0.2"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</row>
    <row r="329" spans="15:73" x14ac:dyDescent="0.2"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</row>
    <row r="330" spans="15:73" x14ac:dyDescent="0.2"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</row>
    <row r="331" spans="15:73" x14ac:dyDescent="0.2"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</row>
    <row r="332" spans="15:73" x14ac:dyDescent="0.2"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</row>
    <row r="333" spans="15:73" x14ac:dyDescent="0.2"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</row>
    <row r="334" spans="15:73" x14ac:dyDescent="0.2"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</row>
    <row r="335" spans="15:73" x14ac:dyDescent="0.2"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</row>
    <row r="336" spans="15:73" x14ac:dyDescent="0.2"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</row>
    <row r="337" spans="15:73" x14ac:dyDescent="0.2"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</row>
    <row r="338" spans="15:73" x14ac:dyDescent="0.2"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</row>
    <row r="339" spans="15:73" x14ac:dyDescent="0.2"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</row>
    <row r="340" spans="15:73" x14ac:dyDescent="0.2"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</row>
    <row r="341" spans="15:73" x14ac:dyDescent="0.2"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</row>
    <row r="342" spans="15:73" x14ac:dyDescent="0.2"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</row>
    <row r="343" spans="15:73" x14ac:dyDescent="0.2"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</row>
    <row r="344" spans="15:73" x14ac:dyDescent="0.2"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</row>
    <row r="345" spans="15:73" x14ac:dyDescent="0.2"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</row>
    <row r="346" spans="15:73" x14ac:dyDescent="0.2"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</row>
    <row r="347" spans="15:73" x14ac:dyDescent="0.2"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</row>
    <row r="348" spans="15:73" x14ac:dyDescent="0.2"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</row>
    <row r="349" spans="15:73" x14ac:dyDescent="0.2"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</row>
    <row r="350" spans="15:73" x14ac:dyDescent="0.2"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</row>
    <row r="351" spans="15:73" x14ac:dyDescent="0.2"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</row>
    <row r="352" spans="15:73" x14ac:dyDescent="0.2"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</row>
    <row r="353" spans="15:73" x14ac:dyDescent="0.2"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</row>
    <row r="354" spans="15:73" x14ac:dyDescent="0.2"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</row>
    <row r="355" spans="15:73" x14ac:dyDescent="0.2"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</row>
    <row r="356" spans="15:73" x14ac:dyDescent="0.2"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</row>
    <row r="357" spans="15:73" x14ac:dyDescent="0.2"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</row>
    <row r="358" spans="15:73" x14ac:dyDescent="0.2"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</row>
    <row r="359" spans="15:73" x14ac:dyDescent="0.2"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</row>
    <row r="360" spans="15:73" x14ac:dyDescent="0.2"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</row>
    <row r="361" spans="15:73" x14ac:dyDescent="0.2"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</row>
    <row r="362" spans="15:73" x14ac:dyDescent="0.2"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</row>
    <row r="363" spans="15:73" x14ac:dyDescent="0.2"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</row>
    <row r="364" spans="15:73" x14ac:dyDescent="0.2"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</row>
    <row r="365" spans="15:73" x14ac:dyDescent="0.2"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</row>
    <row r="366" spans="15:73" x14ac:dyDescent="0.2"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</row>
    <row r="367" spans="15:73" x14ac:dyDescent="0.2"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</row>
    <row r="368" spans="15:73" x14ac:dyDescent="0.2"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</row>
    <row r="369" spans="15:73" x14ac:dyDescent="0.2"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</row>
    <row r="370" spans="15:73" x14ac:dyDescent="0.2"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</row>
    <row r="371" spans="15:73" x14ac:dyDescent="0.2"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</row>
    <row r="372" spans="15:73" x14ac:dyDescent="0.2"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</row>
    <row r="373" spans="15:73" x14ac:dyDescent="0.2"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</row>
    <row r="374" spans="15:73" x14ac:dyDescent="0.2"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</row>
    <row r="375" spans="15:73" x14ac:dyDescent="0.2"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</row>
    <row r="376" spans="15:73" x14ac:dyDescent="0.2"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</row>
    <row r="377" spans="15:73" x14ac:dyDescent="0.2"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</row>
    <row r="378" spans="15:73" x14ac:dyDescent="0.2"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</row>
    <row r="379" spans="15:73" x14ac:dyDescent="0.2"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</row>
    <row r="380" spans="15:73" x14ac:dyDescent="0.2"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</row>
    <row r="381" spans="15:73" x14ac:dyDescent="0.2"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</row>
    <row r="382" spans="15:73" x14ac:dyDescent="0.2"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</row>
    <row r="383" spans="15:73" x14ac:dyDescent="0.2"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</row>
    <row r="384" spans="15:73" x14ac:dyDescent="0.2"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</row>
    <row r="385" spans="15:73" x14ac:dyDescent="0.2"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</row>
    <row r="386" spans="15:73" x14ac:dyDescent="0.2"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</row>
    <row r="387" spans="15:73" x14ac:dyDescent="0.2"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</row>
    <row r="388" spans="15:73" x14ac:dyDescent="0.2"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</row>
    <row r="389" spans="15:73" x14ac:dyDescent="0.2"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</row>
    <row r="390" spans="15:73" x14ac:dyDescent="0.2"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</row>
    <row r="391" spans="15:73" x14ac:dyDescent="0.2"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</row>
    <row r="392" spans="15:73" x14ac:dyDescent="0.2"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</row>
    <row r="393" spans="15:73" x14ac:dyDescent="0.2"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</row>
    <row r="394" spans="15:73" x14ac:dyDescent="0.2"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</row>
    <row r="395" spans="15:73" x14ac:dyDescent="0.2"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</row>
    <row r="396" spans="15:73" x14ac:dyDescent="0.2"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</row>
    <row r="397" spans="15:73" x14ac:dyDescent="0.2"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</row>
    <row r="398" spans="15:73" x14ac:dyDescent="0.2"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</row>
    <row r="399" spans="15:73" x14ac:dyDescent="0.2"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</row>
    <row r="400" spans="15:73" x14ac:dyDescent="0.2"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</row>
    <row r="401" spans="15:73" x14ac:dyDescent="0.2"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</row>
    <row r="402" spans="15:73" x14ac:dyDescent="0.2"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</row>
    <row r="403" spans="15:73" x14ac:dyDescent="0.2"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</row>
    <row r="404" spans="15:73" x14ac:dyDescent="0.2"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</row>
    <row r="405" spans="15:73" x14ac:dyDescent="0.2"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</row>
    <row r="406" spans="15:73" x14ac:dyDescent="0.2"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</row>
    <row r="407" spans="15:73" x14ac:dyDescent="0.2"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</row>
    <row r="408" spans="15:73" x14ac:dyDescent="0.2"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</row>
    <row r="409" spans="15:73" x14ac:dyDescent="0.2"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</row>
    <row r="410" spans="15:73" x14ac:dyDescent="0.2"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</row>
    <row r="411" spans="15:73" x14ac:dyDescent="0.2"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</row>
    <row r="412" spans="15:73" x14ac:dyDescent="0.2"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</row>
    <row r="413" spans="15:73" x14ac:dyDescent="0.2"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</row>
    <row r="414" spans="15:73" x14ac:dyDescent="0.2"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</row>
    <row r="415" spans="15:73" x14ac:dyDescent="0.2"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</row>
    <row r="416" spans="15:73" x14ac:dyDescent="0.2"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</row>
    <row r="417" spans="15:73" x14ac:dyDescent="0.2"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</row>
    <row r="418" spans="15:73" x14ac:dyDescent="0.2"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</row>
    <row r="419" spans="15:73" x14ac:dyDescent="0.2"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</row>
    <row r="420" spans="15:73" x14ac:dyDescent="0.2"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</row>
    <row r="421" spans="15:73" x14ac:dyDescent="0.2"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</row>
    <row r="422" spans="15:73" x14ac:dyDescent="0.2"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</row>
    <row r="423" spans="15:73" x14ac:dyDescent="0.2"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</row>
    <row r="424" spans="15:73" x14ac:dyDescent="0.2"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</row>
    <row r="425" spans="15:73" x14ac:dyDescent="0.2"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</row>
    <row r="426" spans="15:73" x14ac:dyDescent="0.2"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</row>
    <row r="427" spans="15:73" x14ac:dyDescent="0.2"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</row>
    <row r="428" spans="15:73" x14ac:dyDescent="0.2"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</row>
    <row r="429" spans="15:73" x14ac:dyDescent="0.2"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</row>
    <row r="430" spans="15:73" x14ac:dyDescent="0.2"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</row>
    <row r="431" spans="15:73" x14ac:dyDescent="0.2"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</row>
    <row r="432" spans="15:73" x14ac:dyDescent="0.2"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</row>
    <row r="433" spans="15:73" x14ac:dyDescent="0.2"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</row>
    <row r="434" spans="15:73" x14ac:dyDescent="0.2"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</row>
    <row r="435" spans="15:73" x14ac:dyDescent="0.2"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</row>
    <row r="436" spans="15:73" x14ac:dyDescent="0.2"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</row>
    <row r="437" spans="15:73" x14ac:dyDescent="0.2"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</row>
    <row r="438" spans="15:73" x14ac:dyDescent="0.2"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</row>
    <row r="439" spans="15:73" x14ac:dyDescent="0.2"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</row>
    <row r="440" spans="15:73" x14ac:dyDescent="0.2"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</row>
    <row r="441" spans="15:73" x14ac:dyDescent="0.2"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</row>
    <row r="442" spans="15:73" x14ac:dyDescent="0.2"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</row>
    <row r="443" spans="15:73" x14ac:dyDescent="0.2"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</row>
    <row r="444" spans="15:73" x14ac:dyDescent="0.2"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</row>
    <row r="445" spans="15:73" x14ac:dyDescent="0.2"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</row>
    <row r="446" spans="15:73" x14ac:dyDescent="0.2"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</row>
    <row r="447" spans="15:73" x14ac:dyDescent="0.2"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</row>
    <row r="448" spans="15:73" x14ac:dyDescent="0.2"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</row>
    <row r="449" spans="15:73" x14ac:dyDescent="0.2"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</row>
    <row r="450" spans="15:73" x14ac:dyDescent="0.2"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</row>
    <row r="451" spans="15:73" x14ac:dyDescent="0.2"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</row>
    <row r="452" spans="15:73" x14ac:dyDescent="0.2"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</row>
    <row r="453" spans="15:73" x14ac:dyDescent="0.2"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</row>
    <row r="454" spans="15:73" x14ac:dyDescent="0.2"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</row>
    <row r="455" spans="15:73" x14ac:dyDescent="0.2"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</row>
    <row r="456" spans="15:73" x14ac:dyDescent="0.2"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</row>
    <row r="457" spans="15:73" x14ac:dyDescent="0.2"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</row>
    <row r="458" spans="15:73" x14ac:dyDescent="0.2"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</row>
    <row r="459" spans="15:73" x14ac:dyDescent="0.2"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</row>
    <row r="460" spans="15:73" x14ac:dyDescent="0.2"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</row>
    <row r="461" spans="15:73" x14ac:dyDescent="0.2"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</row>
    <row r="462" spans="15:73" x14ac:dyDescent="0.2"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</row>
    <row r="463" spans="15:73" x14ac:dyDescent="0.2"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</row>
    <row r="464" spans="15:73" x14ac:dyDescent="0.2"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</row>
    <row r="465" spans="15:73" x14ac:dyDescent="0.2"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</row>
    <row r="466" spans="15:73" x14ac:dyDescent="0.2"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</row>
    <row r="467" spans="15:73" x14ac:dyDescent="0.2"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</row>
    <row r="468" spans="15:73" x14ac:dyDescent="0.2"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</row>
    <row r="469" spans="15:73" x14ac:dyDescent="0.2"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</row>
    <row r="470" spans="15:73" x14ac:dyDescent="0.2"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</row>
    <row r="471" spans="15:73" x14ac:dyDescent="0.2"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</row>
    <row r="472" spans="15:73" x14ac:dyDescent="0.2"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</row>
    <row r="473" spans="15:73" x14ac:dyDescent="0.2"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</row>
    <row r="474" spans="15:73" x14ac:dyDescent="0.2"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</row>
    <row r="475" spans="15:73" x14ac:dyDescent="0.2"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</row>
    <row r="476" spans="15:73" x14ac:dyDescent="0.2"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</row>
    <row r="477" spans="15:73" x14ac:dyDescent="0.2"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</row>
    <row r="478" spans="15:73" x14ac:dyDescent="0.2"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</row>
    <row r="479" spans="15:73" x14ac:dyDescent="0.2"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</row>
    <row r="480" spans="15:73" x14ac:dyDescent="0.2"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</row>
    <row r="481" spans="15:73" x14ac:dyDescent="0.2"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</row>
    <row r="482" spans="15:73" x14ac:dyDescent="0.2"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</row>
    <row r="483" spans="15:73" x14ac:dyDescent="0.2"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</row>
    <row r="484" spans="15:73" x14ac:dyDescent="0.2"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</row>
    <row r="485" spans="15:73" x14ac:dyDescent="0.2"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</row>
    <row r="486" spans="15:73" x14ac:dyDescent="0.2"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</row>
    <row r="487" spans="15:73" x14ac:dyDescent="0.2"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</row>
    <row r="488" spans="15:73" x14ac:dyDescent="0.2"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</row>
    <row r="489" spans="15:73" x14ac:dyDescent="0.2"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</row>
    <row r="490" spans="15:73" x14ac:dyDescent="0.2"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</row>
    <row r="491" spans="15:73" x14ac:dyDescent="0.2"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</row>
    <row r="492" spans="15:73" x14ac:dyDescent="0.2"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</row>
    <row r="493" spans="15:73" x14ac:dyDescent="0.2"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</row>
    <row r="494" spans="15:73" x14ac:dyDescent="0.2"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</row>
    <row r="495" spans="15:73" x14ac:dyDescent="0.2"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</row>
    <row r="496" spans="15:73" x14ac:dyDescent="0.2"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</row>
    <row r="497" spans="15:73" x14ac:dyDescent="0.2"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</row>
    <row r="498" spans="15:73" x14ac:dyDescent="0.2"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</row>
    <row r="499" spans="15:73" x14ac:dyDescent="0.2"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</row>
    <row r="500" spans="15:73" x14ac:dyDescent="0.2"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</row>
    <row r="501" spans="15:73" x14ac:dyDescent="0.2"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</row>
    <row r="502" spans="15:73" x14ac:dyDescent="0.2"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</row>
    <row r="503" spans="15:73" x14ac:dyDescent="0.2"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</row>
    <row r="504" spans="15:73" x14ac:dyDescent="0.2"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</row>
    <row r="505" spans="15:73" x14ac:dyDescent="0.2"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</row>
    <row r="506" spans="15:73" x14ac:dyDescent="0.2"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</row>
    <row r="507" spans="15:73" x14ac:dyDescent="0.2"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</row>
    <row r="508" spans="15:73" x14ac:dyDescent="0.2"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</row>
    <row r="509" spans="15:73" x14ac:dyDescent="0.2"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</row>
    <row r="510" spans="15:73" x14ac:dyDescent="0.2"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</row>
    <row r="511" spans="15:73" x14ac:dyDescent="0.2"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</row>
    <row r="512" spans="15:73" x14ac:dyDescent="0.2"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</row>
    <row r="513" spans="15:73" x14ac:dyDescent="0.2"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</row>
    <row r="514" spans="15:73" x14ac:dyDescent="0.2"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</row>
    <row r="515" spans="15:73" x14ac:dyDescent="0.2"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</row>
    <row r="516" spans="15:73" x14ac:dyDescent="0.2"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</row>
    <row r="517" spans="15:73" x14ac:dyDescent="0.2"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</row>
    <row r="518" spans="15:73" x14ac:dyDescent="0.2"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</row>
    <row r="519" spans="15:73" x14ac:dyDescent="0.2"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</row>
    <row r="520" spans="15:73" x14ac:dyDescent="0.2"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</row>
    <row r="521" spans="15:73" x14ac:dyDescent="0.2"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</row>
    <row r="522" spans="15:73" x14ac:dyDescent="0.2"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</row>
    <row r="523" spans="15:73" x14ac:dyDescent="0.2"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</row>
    <row r="524" spans="15:73" x14ac:dyDescent="0.2"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</row>
    <row r="525" spans="15:73" x14ac:dyDescent="0.2"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</row>
    <row r="526" spans="15:73" x14ac:dyDescent="0.2"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</row>
    <row r="527" spans="15:73" x14ac:dyDescent="0.2"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</row>
    <row r="528" spans="15:73" x14ac:dyDescent="0.2"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</row>
    <row r="529" spans="15:73" x14ac:dyDescent="0.2"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</row>
    <row r="530" spans="15:73" x14ac:dyDescent="0.2"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</row>
    <row r="531" spans="15:73" x14ac:dyDescent="0.2"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</row>
    <row r="532" spans="15:73" x14ac:dyDescent="0.2"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</row>
    <row r="533" spans="15:73" x14ac:dyDescent="0.2"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</row>
    <row r="534" spans="15:73" x14ac:dyDescent="0.2"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</row>
    <row r="535" spans="15:73" x14ac:dyDescent="0.2"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</row>
  </sheetData>
  <dataConsolidate/>
  <phoneticPr fontId="3" type="noConversion"/>
  <pageMargins left="0.75" right="0.75" top="1" bottom="1" header="0.5" footer="0.5"/>
  <pageSetup scale="64" orientation="portrait" verticalDpi="300" r:id="rId1"/>
  <headerFooter alignWithMargins="0"/>
  <ignoredErrors>
    <ignoredError sqref="K15 K19 K23 K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35"/>
  <sheetViews>
    <sheetView showGridLines="0" zoomScaleNormal="100" workbookViewId="0"/>
  </sheetViews>
  <sheetFormatPr defaultRowHeight="12.75" x14ac:dyDescent="0.2"/>
  <cols>
    <col min="1" max="1" width="14.7109375" customWidth="1"/>
    <col min="2" max="2" width="11.7109375" customWidth="1"/>
    <col min="3" max="3" width="10.7109375" customWidth="1"/>
    <col min="4" max="4" width="7.7109375" customWidth="1"/>
    <col min="5" max="5" width="10.7109375" customWidth="1"/>
    <col min="6" max="6" width="1.7109375" customWidth="1"/>
    <col min="7" max="10" width="10.7109375" customWidth="1"/>
    <col min="11" max="11" width="7.7109375" customWidth="1"/>
  </cols>
  <sheetData>
    <row r="1" spans="1:12" ht="14.25" x14ac:dyDescent="0.2">
      <c r="A1" s="35" t="s">
        <v>23</v>
      </c>
      <c r="B1" s="35"/>
      <c r="C1" s="35"/>
      <c r="D1" s="35"/>
      <c r="E1" s="35"/>
      <c r="F1" s="35"/>
      <c r="G1" s="35"/>
      <c r="H1" s="35"/>
      <c r="I1" s="35"/>
      <c r="J1" s="35"/>
    </row>
    <row r="2" spans="1:12" ht="14.25" x14ac:dyDescent="0.2">
      <c r="A2" s="36"/>
      <c r="B2" s="171" t="s">
        <v>0</v>
      </c>
      <c r="C2" s="171"/>
      <c r="D2" s="171"/>
      <c r="E2" s="171"/>
      <c r="F2" s="39"/>
      <c r="G2" s="171" t="s">
        <v>24</v>
      </c>
      <c r="H2" s="171"/>
      <c r="I2" s="171"/>
      <c r="J2" s="36"/>
    </row>
    <row r="3" spans="1:12" ht="14.25" x14ac:dyDescent="0.2">
      <c r="A3" s="36" t="s">
        <v>83</v>
      </c>
      <c r="B3" s="38" t="s">
        <v>8</v>
      </c>
      <c r="C3" s="40"/>
      <c r="D3" s="40"/>
      <c r="E3" s="40"/>
      <c r="F3" s="40"/>
      <c r="G3" s="40"/>
      <c r="H3" s="40"/>
      <c r="I3" s="40"/>
      <c r="J3" s="38" t="s">
        <v>34</v>
      </c>
    </row>
    <row r="4" spans="1:12" ht="14.25" x14ac:dyDescent="0.2">
      <c r="A4" s="41" t="s">
        <v>84</v>
      </c>
      <c r="B4" s="43" t="s">
        <v>33</v>
      </c>
      <c r="C4" s="43" t="s">
        <v>1</v>
      </c>
      <c r="D4" s="43" t="s">
        <v>2</v>
      </c>
      <c r="E4" s="45" t="s">
        <v>32</v>
      </c>
      <c r="F4" s="44"/>
      <c r="G4" s="43" t="s">
        <v>35</v>
      </c>
      <c r="H4" s="43" t="s">
        <v>31</v>
      </c>
      <c r="I4" s="43" t="s">
        <v>32</v>
      </c>
      <c r="J4" s="43" t="s">
        <v>95</v>
      </c>
    </row>
    <row r="5" spans="1:12" ht="14.25" x14ac:dyDescent="0.2">
      <c r="A5" s="36"/>
      <c r="B5" s="172" t="s">
        <v>103</v>
      </c>
      <c r="C5" s="172"/>
      <c r="D5" s="172"/>
      <c r="E5" s="172"/>
      <c r="F5" s="172"/>
      <c r="G5" s="172"/>
      <c r="H5" s="172"/>
      <c r="I5" s="172"/>
      <c r="J5" s="172"/>
    </row>
    <row r="6" spans="1:12" ht="16.5" x14ac:dyDescent="0.2">
      <c r="A6" s="36" t="s">
        <v>137</v>
      </c>
      <c r="B6" s="70">
        <v>400.63</v>
      </c>
      <c r="C6" s="71">
        <v>49225.606000000007</v>
      </c>
      <c r="D6" s="71">
        <v>482.79358673947797</v>
      </c>
      <c r="E6" s="50">
        <f t="shared" ref="E6:E8" si="0">SUM(B6:D6)</f>
        <v>50109.029586739482</v>
      </c>
      <c r="F6" s="71"/>
      <c r="G6" s="71">
        <f t="shared" ref="G6:G8" si="1">I6-H6</f>
        <v>35537.466494202046</v>
      </c>
      <c r="H6" s="71">
        <v>14016.139092537436</v>
      </c>
      <c r="I6" s="71">
        <f t="shared" ref="I6:I8" si="2">E6-J6</f>
        <v>49553.605586739483</v>
      </c>
      <c r="J6" s="71">
        <v>555.42399999999998</v>
      </c>
    </row>
    <row r="7" spans="1:12" ht="16.5" x14ac:dyDescent="0.2">
      <c r="A7" s="36" t="s">
        <v>159</v>
      </c>
      <c r="B7" s="70">
        <f>J6</f>
        <v>555.42399999999998</v>
      </c>
      <c r="C7" s="71">
        <f>C23</f>
        <v>48809.412999999993</v>
      </c>
      <c r="D7" s="71">
        <f>D23</f>
        <v>683.51981328180898</v>
      </c>
      <c r="E7" s="50">
        <f t="shared" si="0"/>
        <v>50048.356813281804</v>
      </c>
      <c r="F7" s="71"/>
      <c r="G7" s="71">
        <f t="shared" si="1"/>
        <v>36092.556326571357</v>
      </c>
      <c r="H7" s="71">
        <f>H23</f>
        <v>13553.785486710443</v>
      </c>
      <c r="I7" s="71">
        <f t="shared" si="2"/>
        <v>49646.341813281804</v>
      </c>
      <c r="J7" s="71">
        <f>J22</f>
        <v>402.01499999999999</v>
      </c>
    </row>
    <row r="8" spans="1:12" ht="16.5" x14ac:dyDescent="0.2">
      <c r="A8" s="36" t="s">
        <v>166</v>
      </c>
      <c r="B8" s="70">
        <f>J7</f>
        <v>402.01499999999999</v>
      </c>
      <c r="C8" s="71">
        <v>49498</v>
      </c>
      <c r="D8" s="71">
        <v>500</v>
      </c>
      <c r="E8" s="50">
        <f t="shared" si="0"/>
        <v>50400.014999999999</v>
      </c>
      <c r="F8" s="71"/>
      <c r="G8" s="71">
        <f t="shared" si="1"/>
        <v>36800.014999999999</v>
      </c>
      <c r="H8" s="71">
        <v>13200</v>
      </c>
      <c r="I8" s="71">
        <f t="shared" si="2"/>
        <v>50000.014999999999</v>
      </c>
      <c r="J8" s="71">
        <v>400</v>
      </c>
    </row>
    <row r="9" spans="1:12" ht="14.25" x14ac:dyDescent="0.2">
      <c r="A9" s="36"/>
      <c r="B9" s="72"/>
      <c r="C9" s="72"/>
      <c r="D9" s="72"/>
      <c r="E9" s="72"/>
      <c r="F9" s="72"/>
      <c r="G9" s="72"/>
      <c r="H9" s="72"/>
      <c r="I9" s="72"/>
      <c r="J9" s="72"/>
    </row>
    <row r="10" spans="1:12" ht="15.75" x14ac:dyDescent="0.25">
      <c r="A10" s="39" t="s">
        <v>160</v>
      </c>
      <c r="B10" s="74"/>
      <c r="C10" s="57"/>
      <c r="D10" s="57"/>
      <c r="E10" s="57"/>
      <c r="F10" s="57"/>
      <c r="G10" s="57"/>
      <c r="H10" s="57"/>
      <c r="I10" s="57"/>
      <c r="J10" s="57"/>
      <c r="K10" s="20"/>
      <c r="L10" s="20"/>
    </row>
    <row r="11" spans="1:12" ht="15.75" x14ac:dyDescent="0.25">
      <c r="A11" s="39" t="s">
        <v>57</v>
      </c>
      <c r="B11" s="74">
        <f>501.299+54.125</f>
        <v>555.42399999999998</v>
      </c>
      <c r="C11" s="57">
        <f>4020.038+270.986</f>
        <v>4291.0240000000003</v>
      </c>
      <c r="D11" s="57">
        <f>(38895.341+8534+588.568+342.761)*2.204622/2000</f>
        <v>53.30849850837</v>
      </c>
      <c r="E11" s="57">
        <f>SUM(B11:D11)</f>
        <v>4899.75649850837</v>
      </c>
      <c r="F11" s="73"/>
      <c r="G11" s="75">
        <f>I11-H11</f>
        <v>3348.3661517904311</v>
      </c>
      <c r="H11" s="75">
        <f>((776.408731+6.862+220.547018))*(2.204622/2)</f>
        <v>1106.519346717939</v>
      </c>
      <c r="I11" s="73">
        <f>E11-J11</f>
        <v>4454.8854985083699</v>
      </c>
      <c r="J11" s="57">
        <f>399.414+45.457</f>
        <v>444.87099999999998</v>
      </c>
      <c r="K11" s="20"/>
      <c r="L11" s="20"/>
    </row>
    <row r="12" spans="1:12" ht="15.75" x14ac:dyDescent="0.25">
      <c r="A12" s="39" t="s">
        <v>58</v>
      </c>
      <c r="B12" s="74">
        <f>J11</f>
        <v>444.87099999999998</v>
      </c>
      <c r="C12" s="57">
        <f>3889.342+265.758</f>
        <v>4155.1000000000004</v>
      </c>
      <c r="D12" s="57">
        <f>(29367.714+4604+554.38+256.525)*2.204622/2000</f>
        <v>38.341263532509004</v>
      </c>
      <c r="E12" s="57">
        <f>SUM(B12:D12)</f>
        <v>4638.3122635325099</v>
      </c>
      <c r="F12" s="57"/>
      <c r="G12" s="75">
        <f>I12-H12</f>
        <v>3149.3935899207918</v>
      </c>
      <c r="H12" s="75">
        <f>((785.170511+14.219+247.015427))*(2.204622/2)</f>
        <v>1153.4636736117181</v>
      </c>
      <c r="I12" s="73">
        <f>E12-J12</f>
        <v>4302.8572635325099</v>
      </c>
      <c r="J12" s="57">
        <f>294.996+40.459</f>
        <v>335.45499999999998</v>
      </c>
      <c r="K12" s="20"/>
      <c r="L12" s="20"/>
    </row>
    <row r="13" spans="1:12" ht="15.75" x14ac:dyDescent="0.25">
      <c r="A13" s="39" t="s">
        <v>59</v>
      </c>
      <c r="B13" s="74">
        <f t="shared" ref="B13:B17" si="3">J12</f>
        <v>335.45499999999998</v>
      </c>
      <c r="C13" s="57">
        <f>4016.547+279.141</f>
        <v>4295.6880000000001</v>
      </c>
      <c r="D13" s="57">
        <f>(42910.147+10294+518.4+271.062)*2.204622/2000</f>
        <v>59.517749130398997</v>
      </c>
      <c r="E13" s="57">
        <f>SUM(B13:D13)</f>
        <v>4690.6607491303994</v>
      </c>
      <c r="F13" s="57"/>
      <c r="G13" s="75">
        <f>I13-H13</f>
        <v>3107.3150045094517</v>
      </c>
      <c r="H13" s="75">
        <f>((818.064035+20.76+202.841833))*(2.204622/2)</f>
        <v>1148.2397446209482</v>
      </c>
      <c r="I13" s="73">
        <f>E13-J13</f>
        <v>4255.5547491303996</v>
      </c>
      <c r="J13" s="75">
        <f>394.444+40.662</f>
        <v>435.10599999999999</v>
      </c>
      <c r="K13" s="20"/>
      <c r="L13" s="20"/>
    </row>
    <row r="14" spans="1:12" ht="15.75" x14ac:dyDescent="0.25">
      <c r="A14" s="39" t="s">
        <v>60</v>
      </c>
      <c r="B14" s="74">
        <f t="shared" si="3"/>
        <v>435.10599999999999</v>
      </c>
      <c r="C14" s="57">
        <f>3988.737+280.766</f>
        <v>4269.5029999999997</v>
      </c>
      <c r="D14" s="57">
        <f>(51173.6+5010+707.464+348.119)*2.204622/2000</f>
        <v>63.095381051913002</v>
      </c>
      <c r="E14" s="57">
        <f>SUM(B14:D14)</f>
        <v>4767.7043810519126</v>
      </c>
      <c r="F14" s="57"/>
      <c r="G14" s="75">
        <f>I14-H14</f>
        <v>2820.1101323920802</v>
      </c>
      <c r="H14" s="75">
        <f>((1043.006958+38.887+304.097154))*(2.204622/2)</f>
        <v>1527.793248659832</v>
      </c>
      <c r="I14" s="73">
        <f>E14-J14</f>
        <v>4347.9033810519122</v>
      </c>
      <c r="J14" s="75">
        <f>380.224+39.577</f>
        <v>419.80099999999999</v>
      </c>
      <c r="K14" s="20"/>
      <c r="L14" s="20"/>
    </row>
    <row r="15" spans="1:12" ht="15.75" x14ac:dyDescent="0.25">
      <c r="A15" s="39" t="s">
        <v>61</v>
      </c>
      <c r="B15" s="74">
        <f t="shared" si="3"/>
        <v>419.80099999999999</v>
      </c>
      <c r="C15" s="57">
        <f>3583.222+253.395</f>
        <v>3836.6170000000002</v>
      </c>
      <c r="D15" s="57">
        <f>(47749.769+5105+263.079+425.819)*2.204622/2000</f>
        <v>59.021773114437003</v>
      </c>
      <c r="E15" s="57">
        <f>SUM(B15:D15)</f>
        <v>4315.4397731144372</v>
      </c>
      <c r="F15" s="57"/>
      <c r="G15" s="75">
        <f>I15-H15</f>
        <v>2922.4511532268561</v>
      </c>
      <c r="H15" s="75">
        <f>((787.403738+7.924+200.860833))*(2.204622/2)</f>
        <v>1098.1096198875809</v>
      </c>
      <c r="I15" s="73">
        <f t="shared" ref="I15:I22" si="4">E15-J15</f>
        <v>4020.5607731144373</v>
      </c>
      <c r="J15" s="75">
        <f>263.515+31.364</f>
        <v>294.87899999999996</v>
      </c>
      <c r="K15" s="20"/>
      <c r="L15" s="20"/>
    </row>
    <row r="16" spans="1:12" ht="15.75" x14ac:dyDescent="0.25">
      <c r="A16" s="39" t="s">
        <v>62</v>
      </c>
      <c r="B16" s="74">
        <f t="shared" si="3"/>
        <v>294.87899999999996</v>
      </c>
      <c r="C16" s="57">
        <f>3926.558+274.26</f>
        <v>4200.8180000000002</v>
      </c>
      <c r="D16" s="57">
        <f>(61699.469+4364+411.923+224.341)*2.204622/2000</f>
        <v>73.523849382962993</v>
      </c>
      <c r="E16" s="57">
        <f t="shared" ref="E16:E17" si="5">SUM(B16:D16)</f>
        <v>4569.220849382963</v>
      </c>
      <c r="F16" s="73"/>
      <c r="G16" s="75">
        <f t="shared" ref="G16:G17" si="6">I16-H16</f>
        <v>2881.8443252468242</v>
      </c>
      <c r="H16" s="57">
        <f>((763.932135+5.972+298.109814))*(2.204622/2)</f>
        <v>1177.283524136139</v>
      </c>
      <c r="I16" s="73">
        <f t="shared" si="4"/>
        <v>4059.1278493829632</v>
      </c>
      <c r="J16" s="75">
        <f>465.159+44.934</f>
        <v>510.09299999999996</v>
      </c>
      <c r="K16" s="20"/>
      <c r="L16" s="20"/>
    </row>
    <row r="17" spans="1:12" ht="15.75" x14ac:dyDescent="0.25">
      <c r="A17" s="39" t="s">
        <v>63</v>
      </c>
      <c r="B17" s="74">
        <f t="shared" si="3"/>
        <v>510.09299999999996</v>
      </c>
      <c r="C17" s="57">
        <f>3763.527+259.021</f>
        <v>4022.5480000000002</v>
      </c>
      <c r="D17" s="57">
        <f>(62488.686+4677+258.217+254.463)*2.204622/2000</f>
        <v>74.602607303826005</v>
      </c>
      <c r="E17" s="57">
        <f t="shared" si="5"/>
        <v>4607.2436073038261</v>
      </c>
      <c r="F17" s="73"/>
      <c r="G17" s="75">
        <f t="shared" si="6"/>
        <v>2821.810765308217</v>
      </c>
      <c r="H17" s="57">
        <f>((1007.701411+13.354+249.239308))*(2.204622/2)</f>
        <v>1400.2598419956091</v>
      </c>
      <c r="I17" s="73">
        <f t="shared" si="4"/>
        <v>4222.0706073038264</v>
      </c>
      <c r="J17" s="75">
        <f>337.326+47.847</f>
        <v>385.173</v>
      </c>
      <c r="K17" s="20"/>
      <c r="L17" s="20"/>
    </row>
    <row r="18" spans="1:12" ht="15.75" x14ac:dyDescent="0.25">
      <c r="A18" s="39" t="s">
        <v>64</v>
      </c>
      <c r="B18" s="74">
        <f t="shared" ref="B18:B19" si="7">J17</f>
        <v>385.173</v>
      </c>
      <c r="C18" s="57">
        <f>3660.325+249.227</f>
        <v>3909.5519999999997</v>
      </c>
      <c r="D18" s="57">
        <f>(57739.395+3870+130.583+721.919)*2.204622/2000</f>
        <v>68.852436143966997</v>
      </c>
      <c r="E18" s="57">
        <f t="shared" ref="E18" si="8">SUM(B18:D18)</f>
        <v>4363.5774361439662</v>
      </c>
      <c r="F18" s="73"/>
      <c r="G18" s="75">
        <f t="shared" ref="G18" si="9">I18-H18</f>
        <v>2930.8773870523009</v>
      </c>
      <c r="H18" s="57">
        <f>((819.428144+11.935+185.223871))*(2.204622/2)</f>
        <v>1120.595049091665</v>
      </c>
      <c r="I18" s="73">
        <f t="shared" si="4"/>
        <v>4051.4724361439662</v>
      </c>
      <c r="J18" s="75">
        <f>276.276+35.829</f>
        <v>312.10500000000002</v>
      </c>
      <c r="K18" s="20"/>
      <c r="L18" s="20"/>
    </row>
    <row r="19" spans="1:12" ht="15.75" x14ac:dyDescent="0.25">
      <c r="A19" s="39" t="s">
        <v>65</v>
      </c>
      <c r="B19" s="74">
        <f t="shared" si="7"/>
        <v>312.10500000000002</v>
      </c>
      <c r="C19" s="57">
        <f>3453.178+243.145</f>
        <v>3696.3229999999999</v>
      </c>
      <c r="D19" s="57">
        <f>(35949.489+2516+112.11+336.226)*2.204622/2000</f>
        <v>42.895137349575009</v>
      </c>
      <c r="E19" s="57">
        <f t="shared" ref="E19:E21" si="10">SUM(B19:D19)</f>
        <v>4051.3231373495751</v>
      </c>
      <c r="F19" s="73"/>
      <c r="G19" s="75">
        <f t="shared" ref="G19:G20" si="11">I19-H19</f>
        <v>2720.5046007899409</v>
      </c>
      <c r="H19" s="57">
        <f>((593.573569+8.497+220.167925))*(2.204622/2)</f>
        <v>906.36253655963401</v>
      </c>
      <c r="I19" s="73">
        <f t="shared" si="4"/>
        <v>3626.8671373495749</v>
      </c>
      <c r="J19" s="75">
        <f>376.025+48.431</f>
        <v>424.45599999999996</v>
      </c>
      <c r="K19" s="20"/>
      <c r="L19" s="20"/>
    </row>
    <row r="20" spans="1:12" ht="15.75" x14ac:dyDescent="0.25">
      <c r="A20" s="39" t="s">
        <v>67</v>
      </c>
      <c r="B20" s="74">
        <f t="shared" ref="B20:B21" si="12">J19</f>
        <v>424.45599999999996</v>
      </c>
      <c r="C20" s="57">
        <f>3918.907+267.367</f>
        <v>4186.2740000000003</v>
      </c>
      <c r="D20" s="57">
        <f>(44365.407+4772+199.564+145.516)*2.204622/2000</f>
        <v>54.545089727457004</v>
      </c>
      <c r="E20" s="57">
        <f t="shared" si="10"/>
        <v>4665.2750897274573</v>
      </c>
      <c r="F20" s="73"/>
      <c r="G20" s="75">
        <f t="shared" si="11"/>
        <v>3372.1360299377911</v>
      </c>
      <c r="H20" s="57">
        <f>((716.627482+22.068+84.962324))*(2.204622/2)</f>
        <v>907.92705978966592</v>
      </c>
      <c r="I20" s="73">
        <f t="shared" si="4"/>
        <v>4280.0630897274568</v>
      </c>
      <c r="J20" s="75">
        <f>345.45+39.762</f>
        <v>385.21199999999999</v>
      </c>
      <c r="K20" s="20"/>
      <c r="L20" s="20"/>
    </row>
    <row r="21" spans="1:12" ht="15.75" x14ac:dyDescent="0.25">
      <c r="A21" s="39" t="s">
        <v>68</v>
      </c>
      <c r="B21" s="74">
        <f t="shared" si="12"/>
        <v>385.21199999999999</v>
      </c>
      <c r="C21" s="57">
        <f>3876.153+270.264</f>
        <v>4146.4169999999995</v>
      </c>
      <c r="D21" s="57">
        <f>(46476.038+4437+282.552+125.417)*2.204622/2000</f>
        <v>56.571710547177005</v>
      </c>
      <c r="E21" s="57">
        <f t="shared" si="10"/>
        <v>4588.2007105471757</v>
      </c>
      <c r="F21" s="73"/>
      <c r="G21" s="75">
        <f t="shared" ref="G21" si="13">I21-H21</f>
        <v>3119.1348855152473</v>
      </c>
      <c r="H21" s="57">
        <f>((806.359325+9.154+124.197723))*(2.204622/2)</f>
        <v>1035.853825031928</v>
      </c>
      <c r="I21" s="73">
        <f t="shared" si="4"/>
        <v>4154.9887105471753</v>
      </c>
      <c r="J21" s="75">
        <f>384.874+48.338</f>
        <v>433.21200000000005</v>
      </c>
      <c r="K21" s="20"/>
      <c r="L21" s="20"/>
    </row>
    <row r="22" spans="1:12" ht="15.75" x14ac:dyDescent="0.25">
      <c r="A22" s="39" t="s">
        <v>70</v>
      </c>
      <c r="B22" s="74">
        <f t="shared" ref="B22" si="14">J21</f>
        <v>433.21200000000005</v>
      </c>
      <c r="C22" s="57">
        <f>3553.484+246.065</f>
        <v>3799.549</v>
      </c>
      <c r="D22" s="57">
        <f>(31772.753+3597+75.985+156.118)*2.204622/2000</f>
        <v>39.244317489216002</v>
      </c>
      <c r="E22" s="57">
        <f t="shared" ref="E22" si="15">SUM(B22:D22)</f>
        <v>4272.0053174892164</v>
      </c>
      <c r="F22" s="73"/>
      <c r="G22" s="75">
        <f t="shared" ref="G22" si="16">I22-H22</f>
        <v>2898.6123008814347</v>
      </c>
      <c r="H22" s="57">
        <f>((684.757972+16.016+180.44559))*(2.204622/2)</f>
        <v>971.378016607782</v>
      </c>
      <c r="I22" s="73">
        <f t="shared" si="4"/>
        <v>3869.9903174892165</v>
      </c>
      <c r="J22" s="75">
        <f>360.387+41.628</f>
        <v>402.01499999999999</v>
      </c>
      <c r="K22" s="20"/>
      <c r="L22" s="20"/>
    </row>
    <row r="23" spans="1:12" ht="15.75" x14ac:dyDescent="0.25">
      <c r="A23" s="39" t="s">
        <v>3</v>
      </c>
      <c r="B23" s="74"/>
      <c r="C23" s="57">
        <f>SUM(C11:C22)</f>
        <v>48809.412999999993</v>
      </c>
      <c r="D23" s="57">
        <f>SUM(D11:D22)</f>
        <v>683.51981328180898</v>
      </c>
      <c r="E23" s="57">
        <f t="shared" ref="E23" si="17">SUM(E11:E19)</f>
        <v>40903.238695517961</v>
      </c>
      <c r="F23" s="57"/>
      <c r="G23" s="57">
        <f t="shared" ref="G23:I23" si="18">SUM(G11:G22)</f>
        <v>36092.556326571364</v>
      </c>
      <c r="H23" s="57">
        <f t="shared" si="18"/>
        <v>13553.785486710443</v>
      </c>
      <c r="I23" s="57">
        <f t="shared" si="18"/>
        <v>49646.341813281811</v>
      </c>
      <c r="J23" s="57"/>
      <c r="K23" s="20"/>
      <c r="L23" s="20"/>
    </row>
    <row r="24" spans="1:12" ht="15.75" x14ac:dyDescent="0.25">
      <c r="A24" s="39"/>
      <c r="B24" s="74"/>
      <c r="C24" s="57"/>
      <c r="D24" s="57"/>
      <c r="E24" s="57"/>
      <c r="F24" s="57"/>
      <c r="G24" s="57"/>
      <c r="H24" s="57"/>
      <c r="I24" s="57"/>
      <c r="J24" s="57"/>
      <c r="K24" s="20"/>
      <c r="L24" s="20"/>
    </row>
    <row r="25" spans="1:12" ht="15.75" x14ac:dyDescent="0.25">
      <c r="A25" s="39" t="s">
        <v>167</v>
      </c>
      <c r="B25" s="74"/>
      <c r="C25" s="57"/>
      <c r="D25" s="57"/>
      <c r="E25" s="57"/>
      <c r="F25" s="57"/>
      <c r="G25" s="57"/>
      <c r="H25" s="57"/>
      <c r="I25" s="57"/>
      <c r="J25" s="57"/>
      <c r="K25" s="20"/>
      <c r="L25" s="20"/>
    </row>
    <row r="26" spans="1:12" ht="15.75" x14ac:dyDescent="0.25">
      <c r="A26" s="35" t="s">
        <v>57</v>
      </c>
      <c r="B26" s="76">
        <f>J22</f>
        <v>402.01499999999999</v>
      </c>
      <c r="C26" s="64">
        <f>4105.453+276.379</f>
        <v>4381.8320000000003</v>
      </c>
      <c r="D26" s="64">
        <f>(34715.548+8327+125.964+103.856)*2.204622/2000</f>
        <v>47.699607242448003</v>
      </c>
      <c r="E26" s="64">
        <f t="shared" ref="E26" si="19">SUM(B26:D26)</f>
        <v>4831.5466072424488</v>
      </c>
      <c r="F26" s="64"/>
      <c r="G26" s="64">
        <f t="shared" ref="G26" si="20">I26-H26</f>
        <v>3327.2296056377381</v>
      </c>
      <c r="H26" s="64">
        <f>((778.679879+14.393+240.172731))*(2.204622/2)</f>
        <v>1138.95800160471</v>
      </c>
      <c r="I26" s="64">
        <f t="shared" ref="I26" si="21">E26-J26</f>
        <v>4466.1876072424484</v>
      </c>
      <c r="J26" s="64">
        <f>335.183+30.176</f>
        <v>365.35899999999998</v>
      </c>
      <c r="K26" s="20"/>
      <c r="L26" s="20"/>
    </row>
    <row r="27" spans="1:12" ht="17.25" x14ac:dyDescent="0.25">
      <c r="A27" s="77" t="s">
        <v>162</v>
      </c>
      <c r="B27" s="36"/>
      <c r="C27" s="36"/>
      <c r="D27" s="36"/>
      <c r="E27" s="36"/>
      <c r="F27" s="36"/>
      <c r="G27" s="36"/>
      <c r="H27" s="36"/>
      <c r="I27" s="36"/>
      <c r="J27" s="36"/>
      <c r="K27" s="20"/>
      <c r="L27" s="20"/>
    </row>
    <row r="28" spans="1:12" ht="15.75" x14ac:dyDescent="0.25">
      <c r="A28" s="36" t="s">
        <v>123</v>
      </c>
      <c r="B28" s="36"/>
      <c r="C28" s="36"/>
      <c r="D28" s="36"/>
      <c r="E28" s="36"/>
      <c r="F28" s="36"/>
      <c r="G28" s="36"/>
      <c r="H28" s="36"/>
      <c r="I28" s="36"/>
      <c r="J28" s="36"/>
      <c r="K28" s="20"/>
      <c r="L28" s="20"/>
    </row>
    <row r="29" spans="1:12" ht="15.75" x14ac:dyDescent="0.25">
      <c r="A29" s="40" t="s">
        <v>26</v>
      </c>
      <c r="B29" s="69">
        <f ca="1">NOW()</f>
        <v>43811.378525810185</v>
      </c>
      <c r="C29" s="56"/>
      <c r="D29" s="52"/>
      <c r="E29" s="52"/>
      <c r="F29" s="52"/>
      <c r="G29" s="52"/>
      <c r="H29" s="52"/>
      <c r="I29" s="52"/>
      <c r="J29" s="52"/>
      <c r="K29" s="20"/>
      <c r="L29" s="20"/>
    </row>
    <row r="30" spans="1:12" ht="15.75" x14ac:dyDescent="0.25">
      <c r="A30" s="1"/>
      <c r="B30" s="3"/>
      <c r="C30" s="4"/>
      <c r="D30" s="3"/>
      <c r="E30" s="3"/>
      <c r="F30" s="3"/>
      <c r="G30" s="3"/>
      <c r="H30" s="5"/>
      <c r="I30" s="3"/>
      <c r="J30" s="3"/>
      <c r="K30" s="20"/>
      <c r="L30" s="20"/>
    </row>
    <row r="31" spans="1:12" ht="15.75" x14ac:dyDescent="0.25">
      <c r="A31" s="1"/>
      <c r="B31" s="3"/>
      <c r="C31" s="3"/>
      <c r="D31" s="3"/>
      <c r="E31" s="3"/>
      <c r="F31" s="3"/>
      <c r="G31" s="3"/>
      <c r="H31" s="3"/>
      <c r="I31" s="3"/>
      <c r="J31" s="3"/>
      <c r="K31" s="20"/>
      <c r="L31" s="20"/>
    </row>
    <row r="32" spans="1:12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20"/>
      <c r="L32" s="20"/>
    </row>
    <row r="33" spans="1:12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20"/>
      <c r="L33" s="20"/>
    </row>
    <row r="34" spans="1:12" ht="15.75" x14ac:dyDescent="0.25">
      <c r="K34" s="20"/>
      <c r="L34" s="20"/>
    </row>
    <row r="35" spans="1:12" ht="15.75" x14ac:dyDescent="0.25">
      <c r="K35" s="20"/>
      <c r="L35" s="20"/>
    </row>
  </sheetData>
  <mergeCells count="3">
    <mergeCell ref="G2:I2"/>
    <mergeCell ref="B5:J5"/>
    <mergeCell ref="B2:E2"/>
  </mergeCells>
  <phoneticPr fontId="3" type="noConversion"/>
  <pageMargins left="0.75" right="0.75" top="1" bottom="1" header="0.5" footer="0.5"/>
  <pageSetup scale="9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1"/>
  <sheetViews>
    <sheetView showGridLines="0" zoomScaleNormal="100" workbookViewId="0"/>
  </sheetViews>
  <sheetFormatPr defaultRowHeight="12.75" x14ac:dyDescent="0.2"/>
  <cols>
    <col min="1" max="1" width="14.5703125" customWidth="1"/>
    <col min="2" max="2" width="11.7109375" customWidth="1"/>
    <col min="3" max="3" width="10.7109375" customWidth="1"/>
    <col min="4" max="4" width="9.5703125" bestFit="1" customWidth="1"/>
    <col min="5" max="5" width="11.28515625" bestFit="1" customWidth="1"/>
    <col min="6" max="6" width="3.7109375" customWidth="1"/>
    <col min="7" max="7" width="10.7109375" bestFit="1" customWidth="1"/>
    <col min="8" max="8" width="10.7109375" customWidth="1"/>
    <col min="9" max="9" width="12.7109375" customWidth="1"/>
    <col min="10" max="10" width="9.7109375" customWidth="1"/>
    <col min="11" max="11" width="10.7109375" customWidth="1"/>
    <col min="12" max="12" width="10.140625" bestFit="1" customWidth="1"/>
    <col min="14" max="14" width="9.28515625" bestFit="1" customWidth="1"/>
  </cols>
  <sheetData>
    <row r="1" spans="1:13" ht="14.25" x14ac:dyDescent="0.2">
      <c r="A1" s="35" t="s">
        <v>25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3" ht="14.25" x14ac:dyDescent="0.2">
      <c r="A2" s="36"/>
      <c r="B2" s="171" t="s">
        <v>0</v>
      </c>
      <c r="C2" s="171"/>
      <c r="D2" s="171"/>
      <c r="E2" s="171"/>
      <c r="F2" s="39"/>
      <c r="G2" s="171" t="s">
        <v>24</v>
      </c>
      <c r="H2" s="171"/>
      <c r="I2" s="171"/>
      <c r="J2" s="37"/>
      <c r="K2" s="37"/>
      <c r="L2" s="36"/>
    </row>
    <row r="3" spans="1:13" ht="14.25" x14ac:dyDescent="0.2">
      <c r="A3" s="36" t="s">
        <v>83</v>
      </c>
      <c r="B3" s="38" t="s">
        <v>36</v>
      </c>
      <c r="C3" s="78" t="s">
        <v>1</v>
      </c>
      <c r="D3" s="78" t="s">
        <v>37</v>
      </c>
      <c r="E3" s="78" t="s">
        <v>32</v>
      </c>
      <c r="F3" s="78"/>
      <c r="G3" s="37" t="s">
        <v>35</v>
      </c>
      <c r="H3" s="37"/>
      <c r="I3" s="37"/>
      <c r="J3" s="78" t="s">
        <v>39</v>
      </c>
      <c r="K3" s="78" t="s">
        <v>32</v>
      </c>
      <c r="L3" s="78" t="s">
        <v>34</v>
      </c>
    </row>
    <row r="4" spans="1:13" ht="14.25" x14ac:dyDescent="0.2">
      <c r="A4" s="41" t="s">
        <v>84</v>
      </c>
      <c r="B4" s="43" t="s">
        <v>33</v>
      </c>
      <c r="C4" s="44"/>
      <c r="D4" s="44"/>
      <c r="E4" s="44"/>
      <c r="F4" s="44"/>
      <c r="G4" s="43" t="s">
        <v>3</v>
      </c>
      <c r="H4" s="43" t="s">
        <v>96</v>
      </c>
      <c r="I4" s="43" t="s">
        <v>118</v>
      </c>
      <c r="J4" s="44"/>
      <c r="K4" s="44"/>
      <c r="L4" s="78" t="s">
        <v>95</v>
      </c>
    </row>
    <row r="5" spans="1:13" ht="14.25" x14ac:dyDescent="0.2">
      <c r="A5" s="36"/>
      <c r="B5" s="173" t="s">
        <v>109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</row>
    <row r="6" spans="1:13" ht="14.25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3" ht="16.5" x14ac:dyDescent="0.2">
      <c r="A7" s="36" t="s">
        <v>137</v>
      </c>
      <c r="B7" s="72">
        <v>1710.954</v>
      </c>
      <c r="C7" s="72">
        <v>23772.428000000004</v>
      </c>
      <c r="D7" s="72">
        <v>335.31611675625004</v>
      </c>
      <c r="E7" s="72">
        <f t="shared" ref="E7:E9" si="0">SUM(B7:D7)</f>
        <v>25818.698116756255</v>
      </c>
      <c r="F7" s="72"/>
      <c r="G7" s="72">
        <f t="shared" ref="G7:G9" si="1">K7-J7</f>
        <v>21380.23059872978</v>
      </c>
      <c r="H7" s="72">
        <v>7133.6900000000005</v>
      </c>
      <c r="I7" s="72">
        <f t="shared" ref="I7:I9" si="2">G7-H7</f>
        <v>14246.54059872978</v>
      </c>
      <c r="J7" s="72">
        <v>2443.0335180264719</v>
      </c>
      <c r="K7" s="72">
        <f t="shared" ref="K7:K9" si="3">E7-L7</f>
        <v>23823.264116756254</v>
      </c>
      <c r="L7" s="72">
        <v>1995.434</v>
      </c>
      <c r="M7" s="17"/>
    </row>
    <row r="8" spans="1:13" ht="16.5" x14ac:dyDescent="0.2">
      <c r="A8" s="36" t="s">
        <v>159</v>
      </c>
      <c r="B8" s="72">
        <f>L7</f>
        <v>1995.434</v>
      </c>
      <c r="C8" s="72">
        <f>C24</f>
        <v>24195.478000000006</v>
      </c>
      <c r="D8" s="72">
        <f>D24</f>
        <v>398.08249626894712</v>
      </c>
      <c r="E8" s="72">
        <f t="shared" si="0"/>
        <v>26588.994496268955</v>
      </c>
      <c r="F8" s="72"/>
      <c r="G8" s="72">
        <f t="shared" si="1"/>
        <v>22872.328476166247</v>
      </c>
      <c r="H8" s="72">
        <f>H24</f>
        <v>7863.3000000000011</v>
      </c>
      <c r="I8" s="72">
        <f t="shared" si="2"/>
        <v>15009.028476166246</v>
      </c>
      <c r="J8" s="72">
        <f>J24</f>
        <v>1941.35002010271</v>
      </c>
      <c r="K8" s="72">
        <f t="shared" si="3"/>
        <v>24813.678496268956</v>
      </c>
      <c r="L8" s="72">
        <f>L23</f>
        <v>1775.316</v>
      </c>
      <c r="M8" s="17"/>
    </row>
    <row r="9" spans="1:13" ht="16.5" x14ac:dyDescent="0.2">
      <c r="A9" s="36" t="s">
        <v>166</v>
      </c>
      <c r="B9" s="72">
        <f>L8</f>
        <v>1775.316</v>
      </c>
      <c r="C9" s="72">
        <v>24420</v>
      </c>
      <c r="D9" s="72">
        <v>450</v>
      </c>
      <c r="E9" s="72">
        <f t="shared" si="0"/>
        <v>26645.315999999999</v>
      </c>
      <c r="F9" s="72"/>
      <c r="G9" s="72">
        <f t="shared" si="1"/>
        <v>23499.315999999999</v>
      </c>
      <c r="H9" s="72">
        <v>8500</v>
      </c>
      <c r="I9" s="72">
        <f t="shared" si="2"/>
        <v>14999.315999999999</v>
      </c>
      <c r="J9" s="72">
        <v>1700</v>
      </c>
      <c r="K9" s="72">
        <f t="shared" si="3"/>
        <v>25199.315999999999</v>
      </c>
      <c r="L9" s="72">
        <v>1446</v>
      </c>
      <c r="M9" s="17"/>
    </row>
    <row r="10" spans="1:13" ht="14.25" x14ac:dyDescent="0.2">
      <c r="A10" s="36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17"/>
    </row>
    <row r="11" spans="1:13" ht="14.25" x14ac:dyDescent="0.2">
      <c r="A11" s="36" t="s">
        <v>160</v>
      </c>
      <c r="B11" s="73"/>
      <c r="C11" s="57"/>
      <c r="D11" s="57"/>
      <c r="E11" s="57"/>
      <c r="F11" s="73"/>
      <c r="G11" s="57"/>
      <c r="H11" s="57"/>
      <c r="I11" s="57"/>
      <c r="J11" s="57"/>
      <c r="K11" s="57"/>
      <c r="L11" s="73"/>
    </row>
    <row r="12" spans="1:13" ht="14.25" x14ac:dyDescent="0.2">
      <c r="A12" s="39" t="s">
        <v>57</v>
      </c>
      <c r="B12" s="73">
        <f>1648.347+347.087</f>
        <v>1995.434</v>
      </c>
      <c r="C12" s="57">
        <v>2134.5529999999999</v>
      </c>
      <c r="D12" s="73">
        <f>(1.737942+0+14.079112+0)*2.204622</f>
        <v>34.870625223588</v>
      </c>
      <c r="E12" s="73">
        <f>SUM(B12:D12)</f>
        <v>4164.857625223588</v>
      </c>
      <c r="F12" s="73"/>
      <c r="G12" s="73">
        <f>K12-J12</f>
        <v>1971.1017975407021</v>
      </c>
      <c r="H12" s="73">
        <v>698.88</v>
      </c>
      <c r="I12" s="57">
        <f t="shared" ref="I12:I23" si="4">G12-H12</f>
        <v>1272.221797540702</v>
      </c>
      <c r="J12" s="73">
        <f>(55.858963+0.092113+10.135032+0.231305)*2.204622</f>
        <v>146.20482768288602</v>
      </c>
      <c r="K12" s="73">
        <f>E12-L12</f>
        <v>2117.3066252235881</v>
      </c>
      <c r="L12" s="73">
        <f>1700.684+346.867</f>
        <v>2047.5509999999999</v>
      </c>
    </row>
    <row r="13" spans="1:13" ht="14.25" x14ac:dyDescent="0.2">
      <c r="A13" s="39" t="s">
        <v>58</v>
      </c>
      <c r="B13" s="73">
        <f>L12</f>
        <v>2047.5509999999999</v>
      </c>
      <c r="C13" s="57">
        <v>2060.5630000000001</v>
      </c>
      <c r="D13" s="73">
        <f>(0.859494+0.011057+14.770563+0.0008)*2.204622</f>
        <v>34.484507726507999</v>
      </c>
      <c r="E13" s="73">
        <f>SUM(B13:D13)</f>
        <v>4142.5985077265077</v>
      </c>
      <c r="F13" s="73"/>
      <c r="G13" s="73">
        <f>K13-J13</f>
        <v>2027.2521314197675</v>
      </c>
      <c r="H13" s="73">
        <v>703.79</v>
      </c>
      <c r="I13" s="57">
        <f t="shared" si="4"/>
        <v>1323.4621314197675</v>
      </c>
      <c r="J13" s="73">
        <f>(87.869928+0.165614+9.139504+0.380624)*2.204622</f>
        <v>215.07337630674002</v>
      </c>
      <c r="K13" s="73">
        <f>E13-L13</f>
        <v>2242.3255077265076</v>
      </c>
      <c r="L13" s="73">
        <f>1582.363+317.91</f>
        <v>1900.2730000000001</v>
      </c>
    </row>
    <row r="14" spans="1:13" ht="14.25" x14ac:dyDescent="0.2">
      <c r="A14" s="39" t="s">
        <v>59</v>
      </c>
      <c r="B14" s="73">
        <f>L13</f>
        <v>1900.2730000000001</v>
      </c>
      <c r="C14" s="57">
        <v>2135.37</v>
      </c>
      <c r="D14" s="73">
        <f>(2.278714+0.102885+17.78989+0.0008)*2.204622</f>
        <v>44.47227211975801</v>
      </c>
      <c r="E14" s="73">
        <f>SUM(B14:D14)</f>
        <v>4080.1152721197582</v>
      </c>
      <c r="F14" s="57"/>
      <c r="G14" s="73">
        <f>K14-J14</f>
        <v>1976.5384950247783</v>
      </c>
      <c r="H14" s="73">
        <v>767.76</v>
      </c>
      <c r="I14" s="57">
        <f t="shared" si="4"/>
        <v>1208.7784950247783</v>
      </c>
      <c r="J14" s="73">
        <f>(61.867102+0.216942+9.105599+0.354947)*2.204622</f>
        <v>157.72877709498002</v>
      </c>
      <c r="K14" s="73">
        <f t="shared" ref="K14:K23" si="5">E14-L14</f>
        <v>2134.2672721197582</v>
      </c>
      <c r="L14" s="73">
        <f>1601.77+344.078</f>
        <v>1945.848</v>
      </c>
    </row>
    <row r="15" spans="1:13" ht="14.25" x14ac:dyDescent="0.2">
      <c r="A15" s="39" t="s">
        <v>60</v>
      </c>
      <c r="B15" s="73">
        <f>L14</f>
        <v>1945.848</v>
      </c>
      <c r="C15" s="57">
        <v>2115.799</v>
      </c>
      <c r="D15" s="73">
        <f>(1.232832+0.000565+12.844114+0.00048)*2.204622</f>
        <v>31.036648674401999</v>
      </c>
      <c r="E15" s="73">
        <f t="shared" ref="E15:E19" si="6">SUM(B15:D15)</f>
        <v>4092.6836486744019</v>
      </c>
      <c r="F15" s="57"/>
      <c r="G15" s="73">
        <f>K15-J15</f>
        <v>1866.8960887065257</v>
      </c>
      <c r="H15" s="73">
        <v>622.80999999999995</v>
      </c>
      <c r="I15" s="57">
        <f t="shared" si="4"/>
        <v>1244.0860887065257</v>
      </c>
      <c r="J15" s="73">
        <f>(86.321768+0.169398+13.585229+0.194563)*2.204622</f>
        <v>221.05955996787603</v>
      </c>
      <c r="K15" s="73">
        <f t="shared" si="5"/>
        <v>2087.9556486744018</v>
      </c>
      <c r="L15" s="73">
        <f>1659.501+345.227</f>
        <v>2004.7280000000001</v>
      </c>
    </row>
    <row r="16" spans="1:13" ht="14.25" x14ac:dyDescent="0.2">
      <c r="A16" s="39" t="s">
        <v>61</v>
      </c>
      <c r="B16" s="73">
        <f>L15</f>
        <v>2004.7280000000001</v>
      </c>
      <c r="C16" s="57">
        <v>1899.1959999999999</v>
      </c>
      <c r="D16" s="73">
        <f>(1.036189+0+12.266298+0.0008)*2.204622</f>
        <v>29.328719192514004</v>
      </c>
      <c r="E16" s="73">
        <f t="shared" si="6"/>
        <v>3933.2527191925142</v>
      </c>
      <c r="F16" s="57"/>
      <c r="G16" s="73">
        <f>K16-J16</f>
        <v>1692.3842773339961</v>
      </c>
      <c r="H16" s="73">
        <v>559.57000000000005</v>
      </c>
      <c r="I16" s="57">
        <f t="shared" si="4"/>
        <v>1132.814277333996</v>
      </c>
      <c r="J16" s="73">
        <f>(29.230159+0.074299+12.057246+0.250165)*2.204622</f>
        <v>91.738441858518016</v>
      </c>
      <c r="K16" s="73">
        <f t="shared" si="5"/>
        <v>1784.1227191925141</v>
      </c>
      <c r="L16" s="73">
        <f>1762.965+386.165</f>
        <v>2149.13</v>
      </c>
    </row>
    <row r="17" spans="1:12" ht="14.25" x14ac:dyDescent="0.2">
      <c r="A17" s="39" t="s">
        <v>62</v>
      </c>
      <c r="B17" s="73">
        <f t="shared" ref="B17:B18" si="7">L16</f>
        <v>2149.13</v>
      </c>
      <c r="C17" s="57">
        <v>2094.4180000000001</v>
      </c>
      <c r="D17" s="73">
        <f>(0.61092+0.0008+13.177229+0.00082)*2.204622</f>
        <v>30.401228112318002</v>
      </c>
      <c r="E17" s="73">
        <f t="shared" si="6"/>
        <v>4273.9492281123185</v>
      </c>
      <c r="F17" s="73"/>
      <c r="G17" s="73">
        <f t="shared" ref="G17" si="8">K17-J17</f>
        <v>1769.1811510570665</v>
      </c>
      <c r="H17" s="73">
        <v>617.01</v>
      </c>
      <c r="I17" s="57">
        <f t="shared" si="4"/>
        <v>1152.1711510570665</v>
      </c>
      <c r="J17" s="73">
        <f>(105.920622+0.129031+16.580273+0.67424)*2.204622</f>
        <v>271.83907705525195</v>
      </c>
      <c r="K17" s="73">
        <f t="shared" si="5"/>
        <v>2041.0202281123184</v>
      </c>
      <c r="L17" s="73">
        <f>1893.918+339.011</f>
        <v>2232.9290000000001</v>
      </c>
    </row>
    <row r="18" spans="1:12" ht="14.25" x14ac:dyDescent="0.2">
      <c r="A18" s="39" t="s">
        <v>63</v>
      </c>
      <c r="B18" s="73">
        <f t="shared" si="7"/>
        <v>2232.9290000000001</v>
      </c>
      <c r="C18" s="57">
        <v>1989.1010000000001</v>
      </c>
      <c r="D18" s="73">
        <f>(0.55383+0+12.611174+0.0008)*2.204622</f>
        <v>29.025621146088</v>
      </c>
      <c r="E18" s="73">
        <f t="shared" si="6"/>
        <v>4251.0556211460889</v>
      </c>
      <c r="F18" s="73"/>
      <c r="G18" s="73">
        <f t="shared" ref="G18:G23" si="9">K18-J18</f>
        <v>1845.2466056534167</v>
      </c>
      <c r="H18" s="73">
        <v>631.84</v>
      </c>
      <c r="I18" s="57">
        <f t="shared" si="4"/>
        <v>1213.4066056534166</v>
      </c>
      <c r="J18" s="73">
        <f>(54.848471+0.2357+11.759032+0.380573)*2.204622</f>
        <v>148.20301549267199</v>
      </c>
      <c r="K18" s="73">
        <f t="shared" si="5"/>
        <v>1993.4496211460887</v>
      </c>
      <c r="L18" s="73">
        <f>1893.351+364.255</f>
        <v>2257.6060000000002</v>
      </c>
    </row>
    <row r="19" spans="1:12" ht="14.25" x14ac:dyDescent="0.2">
      <c r="A19" s="39" t="s">
        <v>64</v>
      </c>
      <c r="B19" s="73">
        <f t="shared" ref="B19:B20" si="10">L18</f>
        <v>2257.6060000000002</v>
      </c>
      <c r="C19" s="57">
        <v>1915.9939999999999</v>
      </c>
      <c r="D19" s="73">
        <f>(0.55383087+0+15.169599+0)*2.204622</f>
        <v>34.664219406859139</v>
      </c>
      <c r="E19" s="73">
        <f t="shared" si="6"/>
        <v>4208.2642194068594</v>
      </c>
      <c r="F19" s="73"/>
      <c r="G19" s="73">
        <f t="shared" si="9"/>
        <v>1983.6632017077052</v>
      </c>
      <c r="H19" s="73">
        <v>659.05</v>
      </c>
      <c r="I19" s="57">
        <f t="shared" si="4"/>
        <v>1324.6132017077052</v>
      </c>
      <c r="J19" s="73">
        <f>(80.309787+0.081671+12.554494+0.373455)*2.204622</f>
        <v>205.73401769915404</v>
      </c>
      <c r="K19" s="73">
        <f t="shared" si="5"/>
        <v>2189.3972194068592</v>
      </c>
      <c r="L19" s="73">
        <f>1662.782+356.085</f>
        <v>2018.867</v>
      </c>
    </row>
    <row r="20" spans="1:12" ht="14.25" x14ac:dyDescent="0.2">
      <c r="A20" s="39" t="s">
        <v>65</v>
      </c>
      <c r="B20" s="73">
        <f t="shared" si="10"/>
        <v>2018.867</v>
      </c>
      <c r="C20" s="57">
        <v>1811.481</v>
      </c>
      <c r="D20" s="73">
        <f>(0.478023+0+15.44509+0.0008)*2.204622</f>
        <v>35.106208925886001</v>
      </c>
      <c r="E20" s="73">
        <f t="shared" ref="E20" si="11">SUM(B20:D20)</f>
        <v>3865.4542089258862</v>
      </c>
      <c r="F20" s="73"/>
      <c r="G20" s="73">
        <f t="shared" si="9"/>
        <v>1755.6417846767504</v>
      </c>
      <c r="H20" s="73">
        <v>594.15</v>
      </c>
      <c r="I20" s="57">
        <f t="shared" si="4"/>
        <v>1161.4917846767503</v>
      </c>
      <c r="J20" s="73">
        <f>(33.517763+0.113445+9.280684+0.357396)*2.204622</f>
        <v>95.392424249136013</v>
      </c>
      <c r="K20" s="73">
        <f t="shared" si="5"/>
        <v>1851.0342089258863</v>
      </c>
      <c r="L20" s="73">
        <f>1595.273+419.147</f>
        <v>2014.4199999999998</v>
      </c>
    </row>
    <row r="21" spans="1:12" ht="14.25" x14ac:dyDescent="0.2">
      <c r="A21" s="39" t="s">
        <v>67</v>
      </c>
      <c r="B21" s="73">
        <f t="shared" ref="B21:B22" si="12">L20</f>
        <v>2014.4199999999998</v>
      </c>
      <c r="C21" s="57">
        <v>2090.1680000000001</v>
      </c>
      <c r="D21" s="73">
        <f>(0.864052+0+15.691172+0)*2.204622</f>
        <v>36.498011045327999</v>
      </c>
      <c r="E21" s="73">
        <f t="shared" ref="E21" si="13">SUM(B21:D21)</f>
        <v>4141.0860110453277</v>
      </c>
      <c r="F21" s="73"/>
      <c r="G21" s="73">
        <f t="shared" si="9"/>
        <v>1927.2665944961554</v>
      </c>
      <c r="H21" s="73">
        <v>708.5</v>
      </c>
      <c r="I21" s="57">
        <f t="shared" si="4"/>
        <v>1218.7665944961554</v>
      </c>
      <c r="J21" s="73">
        <f>(68.326636+0.060647+10.41124+0.271003)*2.204622</f>
        <v>174.31841654917196</v>
      </c>
      <c r="K21" s="73">
        <f t="shared" si="5"/>
        <v>2101.5850110453275</v>
      </c>
      <c r="L21" s="73">
        <f>1652.854+386.647</f>
        <v>2039.501</v>
      </c>
    </row>
    <row r="22" spans="1:12" ht="14.25" x14ac:dyDescent="0.2">
      <c r="A22" s="39" t="s">
        <v>68</v>
      </c>
      <c r="B22" s="73">
        <f t="shared" si="12"/>
        <v>2039.501</v>
      </c>
      <c r="C22" s="57">
        <v>2048.1669999999999</v>
      </c>
      <c r="D22" s="73">
        <f>(0.862494+0+14.121916+0)*2.204622</f>
        <v>33.034959943019999</v>
      </c>
      <c r="E22" s="73">
        <f t="shared" ref="E22:E23" si="14">SUM(B22:D22)</f>
        <v>4120.7029599430198</v>
      </c>
      <c r="F22" s="73"/>
      <c r="G22" s="73">
        <f t="shared" si="9"/>
        <v>2149.4900612605697</v>
      </c>
      <c r="H22" s="73">
        <v>701.14</v>
      </c>
      <c r="I22" s="57">
        <f t="shared" si="4"/>
        <v>1448.3500612605699</v>
      </c>
      <c r="J22" s="73">
        <f>(62.810085+0.176713+11.902338+0.219839)*2.204622</f>
        <v>165.58689868245</v>
      </c>
      <c r="K22" s="73">
        <f t="shared" si="5"/>
        <v>2315.0769599430196</v>
      </c>
      <c r="L22" s="73">
        <f>1439.116+366.51</f>
        <v>1805.626</v>
      </c>
    </row>
    <row r="23" spans="1:12" ht="14.25" x14ac:dyDescent="0.2">
      <c r="A23" s="39" t="s">
        <v>70</v>
      </c>
      <c r="B23" s="73">
        <f t="shared" ref="B23" si="15">L22</f>
        <v>1805.626</v>
      </c>
      <c r="C23" s="57">
        <v>1900.6679999999999</v>
      </c>
      <c r="D23" s="73">
        <f>(0.684189+0+10.72796+0)*2.204622</f>
        <v>25.159474752678001</v>
      </c>
      <c r="E23" s="73">
        <f t="shared" si="14"/>
        <v>3731.4534747526777</v>
      </c>
      <c r="F23" s="73"/>
      <c r="G23" s="73">
        <f t="shared" si="9"/>
        <v>1907.6662872888037</v>
      </c>
      <c r="H23" s="73">
        <v>598.79999999999995</v>
      </c>
      <c r="I23" s="57">
        <f t="shared" si="4"/>
        <v>1308.8662872888037</v>
      </c>
      <c r="J23" s="57">
        <f>(13.923865+0.096396+7.740426+0.22548)*2.204622</f>
        <v>48.471187463874003</v>
      </c>
      <c r="K23" s="73">
        <f t="shared" si="5"/>
        <v>1956.1374747526777</v>
      </c>
      <c r="L23" s="73">
        <f>1400.569+374.747</f>
        <v>1775.316</v>
      </c>
    </row>
    <row r="24" spans="1:12" ht="14.25" x14ac:dyDescent="0.2">
      <c r="A24" s="39" t="s">
        <v>3</v>
      </c>
      <c r="B24" s="73"/>
      <c r="C24" s="57">
        <f>SUM(C12:C23)</f>
        <v>24195.478000000006</v>
      </c>
      <c r="D24" s="57">
        <f>SUM(D12:D23)</f>
        <v>398.08249626894712</v>
      </c>
      <c r="E24" s="57">
        <f>B12+C24+D24</f>
        <v>26588.994496268955</v>
      </c>
      <c r="F24" s="73"/>
      <c r="G24" s="57">
        <f t="shared" ref="G24" si="16">SUM(G12:G22)</f>
        <v>20964.662188877432</v>
      </c>
      <c r="H24" s="57">
        <f t="shared" ref="H24:K24" si="17">SUM(H12:H23)</f>
        <v>7863.3000000000011</v>
      </c>
      <c r="I24" s="57">
        <f t="shared" si="17"/>
        <v>15009.028476166237</v>
      </c>
      <c r="J24" s="57">
        <f t="shared" si="17"/>
        <v>1941.35002010271</v>
      </c>
      <c r="K24" s="57">
        <f t="shared" si="17"/>
        <v>24813.678496268945</v>
      </c>
      <c r="L24" s="73"/>
    </row>
    <row r="25" spans="1:12" ht="14.25" x14ac:dyDescent="0.2">
      <c r="A25" s="39"/>
      <c r="B25" s="162"/>
      <c r="C25" s="57"/>
      <c r="D25" s="57"/>
      <c r="E25" s="57"/>
      <c r="F25" s="73"/>
      <c r="G25" s="57"/>
      <c r="H25" s="57"/>
      <c r="I25" s="57"/>
      <c r="J25" s="57"/>
      <c r="K25" s="57"/>
      <c r="L25" s="73"/>
    </row>
    <row r="26" spans="1:12" ht="14.25" x14ac:dyDescent="0.2">
      <c r="A26" s="36" t="s">
        <v>167</v>
      </c>
      <c r="B26" s="162"/>
      <c r="C26" s="57"/>
      <c r="D26" s="57"/>
      <c r="E26" s="57"/>
      <c r="F26" s="73"/>
      <c r="G26" s="57"/>
      <c r="H26" s="57"/>
      <c r="I26" s="57"/>
      <c r="J26" s="57"/>
      <c r="K26" s="57"/>
      <c r="L26" s="73"/>
    </row>
    <row r="27" spans="1:12" ht="14.25" x14ac:dyDescent="0.2">
      <c r="A27" s="39" t="s">
        <v>57</v>
      </c>
      <c r="B27" s="73">
        <f>L23</f>
        <v>1775.316</v>
      </c>
      <c r="C27" s="57">
        <v>2149.9690000000001</v>
      </c>
      <c r="D27" s="73">
        <f>(0.907773+0+12.844502+0.018812)*2.204622</f>
        <v>30.360041364114004</v>
      </c>
      <c r="E27" s="73">
        <f>SUM(B27:D27)</f>
        <v>3955.6450413641137</v>
      </c>
      <c r="F27" s="73"/>
      <c r="G27" s="73">
        <f>K27-J27</f>
        <v>1882.1492755953216</v>
      </c>
      <c r="H27" s="73" t="s">
        <v>10</v>
      </c>
      <c r="I27" s="73" t="s">
        <v>10</v>
      </c>
      <c r="J27" s="57">
        <f>(101.93585+0.105555+12.233566+0.274265)*2.204622</f>
        <v>252.53776576879199</v>
      </c>
      <c r="K27" s="73">
        <f t="shared" ref="K27" si="18">E27-L27</f>
        <v>2134.6870413641136</v>
      </c>
      <c r="L27" s="73">
        <f>1471.929+349.029</f>
        <v>1820.9580000000001</v>
      </c>
    </row>
    <row r="28" spans="1:12" ht="14.25" x14ac:dyDescent="0.2">
      <c r="A28" s="35"/>
      <c r="B28" s="130"/>
      <c r="C28" s="64"/>
      <c r="D28" s="64"/>
      <c r="E28" s="64"/>
      <c r="F28" s="79"/>
      <c r="G28" s="64"/>
      <c r="H28" s="64"/>
      <c r="I28" s="64"/>
      <c r="J28" s="64"/>
      <c r="K28" s="64"/>
      <c r="L28" s="79"/>
    </row>
    <row r="29" spans="1:12" ht="16.5" x14ac:dyDescent="0.2">
      <c r="A29" s="77" t="s">
        <v>124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12" ht="14.25" x14ac:dyDescent="0.2">
      <c r="A30" s="36" t="s">
        <v>123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1:12" ht="14.25" x14ac:dyDescent="0.2">
      <c r="A31" s="40" t="s">
        <v>26</v>
      </c>
      <c r="B31" s="69">
        <f ca="1">NOW()</f>
        <v>43811.378525810185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</row>
  </sheetData>
  <mergeCells count="3">
    <mergeCell ref="B5:L5"/>
    <mergeCell ref="G2:I2"/>
    <mergeCell ref="B2:E2"/>
  </mergeCells>
  <phoneticPr fontId="3" type="noConversion"/>
  <pageMargins left="0.75" right="0.75" top="1" bottom="1" header="0.5" footer="0.5"/>
  <pageSetup scale="67" orientation="portrait" r:id="rId1"/>
  <headerFooter alignWithMargins="0"/>
  <ignoredErrors>
    <ignoredError sqref="I7:I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56"/>
  <sheetViews>
    <sheetView showGridLines="0" zoomScaleNormal="100" workbookViewId="0"/>
  </sheetViews>
  <sheetFormatPr defaultRowHeight="12.75" x14ac:dyDescent="0.2"/>
  <cols>
    <col min="1" max="1" width="14.7109375" customWidth="1"/>
    <col min="2" max="2" width="11.5703125" customWidth="1"/>
    <col min="3" max="3" width="10.7109375" customWidth="1"/>
    <col min="4" max="4" width="11.7109375" customWidth="1"/>
    <col min="5" max="5" width="10.7109375" customWidth="1"/>
    <col min="6" max="6" width="10.5703125" customWidth="1"/>
    <col min="7" max="7" width="11.7109375" customWidth="1"/>
    <col min="8" max="8" width="8.7109375" customWidth="1"/>
    <col min="9" max="9" width="9.7109375" customWidth="1"/>
    <col min="10" max="11" width="7.7109375" customWidth="1"/>
    <col min="12" max="12" width="8.5703125" customWidth="1"/>
    <col min="13" max="13" width="9.5703125" customWidth="1"/>
    <col min="14" max="15" width="7.5703125" customWidth="1"/>
  </cols>
  <sheetData>
    <row r="1" spans="1:15" ht="14.25" x14ac:dyDescent="0.2">
      <c r="A1" s="35" t="s">
        <v>11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  <c r="M1" s="36"/>
      <c r="N1" s="36"/>
      <c r="O1" s="36"/>
    </row>
    <row r="2" spans="1:15" ht="14.25" x14ac:dyDescent="0.2">
      <c r="A2" s="36"/>
      <c r="B2" s="171" t="s">
        <v>0</v>
      </c>
      <c r="C2" s="171"/>
      <c r="D2" s="171"/>
      <c r="E2" s="171"/>
      <c r="F2" s="80"/>
      <c r="G2" s="171" t="s">
        <v>24</v>
      </c>
      <c r="H2" s="171"/>
      <c r="I2" s="171"/>
      <c r="J2" s="171"/>
      <c r="K2" s="80"/>
      <c r="L2" s="36"/>
      <c r="M2" s="36"/>
      <c r="N2" s="36"/>
      <c r="O2" s="36"/>
    </row>
    <row r="3" spans="1:15" ht="14.25" x14ac:dyDescent="0.2">
      <c r="A3" s="36" t="s">
        <v>83</v>
      </c>
      <c r="B3" s="40" t="s">
        <v>36</v>
      </c>
      <c r="C3" s="40"/>
      <c r="D3" s="40"/>
      <c r="E3" s="40"/>
      <c r="F3" s="81"/>
      <c r="G3" s="40"/>
      <c r="H3" s="40"/>
      <c r="I3" s="40"/>
      <c r="J3" s="40"/>
      <c r="K3" s="38" t="s">
        <v>34</v>
      </c>
      <c r="L3" s="36"/>
      <c r="M3" s="36"/>
      <c r="N3" s="36"/>
      <c r="O3" s="36"/>
    </row>
    <row r="4" spans="1:15" ht="14.25" x14ac:dyDescent="0.2">
      <c r="A4" s="41" t="s">
        <v>85</v>
      </c>
      <c r="B4" s="43" t="s">
        <v>53</v>
      </c>
      <c r="C4" s="82" t="s">
        <v>1</v>
      </c>
      <c r="D4" s="45" t="s">
        <v>37</v>
      </c>
      <c r="E4" s="43" t="s">
        <v>94</v>
      </c>
      <c r="F4" s="44"/>
      <c r="G4" s="43" t="s">
        <v>40</v>
      </c>
      <c r="H4" s="43" t="s">
        <v>4</v>
      </c>
      <c r="I4" s="43" t="s">
        <v>41</v>
      </c>
      <c r="J4" s="43" t="s">
        <v>38</v>
      </c>
      <c r="K4" s="43" t="s">
        <v>33</v>
      </c>
      <c r="L4" s="36"/>
      <c r="M4" s="36"/>
      <c r="N4" s="36"/>
      <c r="O4" s="36"/>
    </row>
    <row r="5" spans="1:15" ht="14.25" x14ac:dyDescent="0.2">
      <c r="A5" s="36"/>
      <c r="B5" s="172" t="s">
        <v>18</v>
      </c>
      <c r="C5" s="172"/>
      <c r="D5" s="172"/>
      <c r="E5" s="172"/>
      <c r="F5" s="172"/>
      <c r="G5" s="172"/>
      <c r="H5" s="172"/>
      <c r="I5" s="172"/>
      <c r="J5" s="172"/>
      <c r="K5" s="172"/>
      <c r="L5" s="36"/>
      <c r="M5" s="36"/>
      <c r="N5" s="36"/>
      <c r="O5" s="36"/>
    </row>
    <row r="6" spans="1:15" ht="14.25" x14ac:dyDescent="0.2">
      <c r="A6" s="36"/>
      <c r="B6" s="36"/>
      <c r="C6" s="36"/>
      <c r="D6" s="36"/>
      <c r="E6" s="36"/>
      <c r="F6" s="36"/>
      <c r="G6" s="78"/>
      <c r="H6" s="83"/>
      <c r="I6" s="78"/>
      <c r="J6" s="78"/>
      <c r="K6" s="36"/>
      <c r="L6" s="36"/>
      <c r="M6" s="36"/>
      <c r="N6" s="36"/>
      <c r="O6" s="36"/>
    </row>
    <row r="7" spans="1:15" ht="16.5" x14ac:dyDescent="0.2">
      <c r="A7" s="36" t="s">
        <v>137</v>
      </c>
      <c r="B7" s="84">
        <v>400</v>
      </c>
      <c r="C7" s="84">
        <v>6422</v>
      </c>
      <c r="D7" s="85">
        <v>0</v>
      </c>
      <c r="E7" s="84">
        <f>B7+C7+D7</f>
        <v>6822</v>
      </c>
      <c r="F7" s="51"/>
      <c r="G7" s="84">
        <v>1853.576</v>
      </c>
      <c r="H7" s="86">
        <v>478.09618</v>
      </c>
      <c r="I7" s="84">
        <f>J7-G7-H7</f>
        <v>4039.32782</v>
      </c>
      <c r="J7" s="84">
        <f>E7-K7</f>
        <v>6371</v>
      </c>
      <c r="K7" s="84">
        <v>451</v>
      </c>
      <c r="L7" s="36"/>
      <c r="M7" s="36"/>
      <c r="N7" s="36"/>
      <c r="O7" s="36"/>
    </row>
    <row r="8" spans="1:15" ht="16.5" x14ac:dyDescent="0.2">
      <c r="A8" s="36" t="s">
        <v>159</v>
      </c>
      <c r="B8" s="84">
        <f>K7</f>
        <v>451</v>
      </c>
      <c r="C8" s="84">
        <v>5631</v>
      </c>
      <c r="D8" s="85">
        <v>0.50413091273999999</v>
      </c>
      <c r="E8" s="84">
        <f>B8+C8+D8</f>
        <v>6082.50413091274</v>
      </c>
      <c r="F8" s="51"/>
      <c r="G8" s="84">
        <v>1760.4089999999999</v>
      </c>
      <c r="H8" s="86">
        <v>387.03680000000003</v>
      </c>
      <c r="I8" s="84">
        <f t="shared" ref="I8:I9" si="0">J8-G8-H8</f>
        <v>3458.0583309127405</v>
      </c>
      <c r="J8" s="84">
        <f t="shared" ref="J8:J9" si="1">E8-K8</f>
        <v>5605.50413091274</v>
      </c>
      <c r="K8" s="84">
        <v>477</v>
      </c>
      <c r="L8" s="36"/>
      <c r="M8" s="36"/>
      <c r="N8" s="36"/>
      <c r="O8" s="36"/>
    </row>
    <row r="9" spans="1:15" ht="16.5" x14ac:dyDescent="0.2">
      <c r="A9" s="35" t="s">
        <v>166</v>
      </c>
      <c r="B9" s="87">
        <f>K8</f>
        <v>477</v>
      </c>
      <c r="C9" s="87">
        <v>6266</v>
      </c>
      <c r="D9" s="88">
        <v>2</v>
      </c>
      <c r="E9" s="87">
        <f>B9+C9+D9</f>
        <v>6745</v>
      </c>
      <c r="F9" s="89"/>
      <c r="G9" s="87">
        <v>1850</v>
      </c>
      <c r="H9" s="90">
        <v>350</v>
      </c>
      <c r="I9" s="87">
        <f t="shared" si="0"/>
        <v>4115</v>
      </c>
      <c r="J9" s="87">
        <f t="shared" si="1"/>
        <v>6315</v>
      </c>
      <c r="K9" s="87">
        <v>430</v>
      </c>
      <c r="L9" s="36"/>
      <c r="M9" s="36"/>
      <c r="N9" s="36"/>
      <c r="O9" s="36"/>
    </row>
    <row r="10" spans="1:15" ht="16.5" x14ac:dyDescent="0.2">
      <c r="A10" s="77" t="s">
        <v>125</v>
      </c>
      <c r="B10" s="36"/>
      <c r="C10" s="51"/>
      <c r="D10" s="51"/>
      <c r="E10" s="51"/>
      <c r="F10" s="51"/>
      <c r="G10" s="51"/>
      <c r="H10" s="51"/>
      <c r="I10" s="51"/>
      <c r="J10" s="51"/>
      <c r="K10" s="36"/>
      <c r="L10" s="36"/>
      <c r="M10" s="36"/>
      <c r="N10" s="36"/>
      <c r="O10" s="36"/>
    </row>
    <row r="11" spans="1:15" ht="14.25" x14ac:dyDescent="0.2">
      <c r="A11" s="36" t="s">
        <v>126</v>
      </c>
      <c r="B11" s="52"/>
      <c r="C11" s="56"/>
      <c r="D11" s="36"/>
      <c r="E11" s="52"/>
      <c r="F11" s="52"/>
      <c r="G11" s="52"/>
      <c r="H11" s="52"/>
      <c r="I11" s="52"/>
      <c r="J11" s="52"/>
      <c r="K11" s="36"/>
      <c r="L11" s="36"/>
      <c r="M11" s="36"/>
      <c r="N11" s="36"/>
      <c r="O11" s="36"/>
    </row>
    <row r="12" spans="1:15" ht="14.25" x14ac:dyDescent="0.2">
      <c r="A12" s="36" t="s">
        <v>127</v>
      </c>
      <c r="B12" s="52"/>
      <c r="C12" s="56"/>
      <c r="D12" s="36"/>
      <c r="E12" s="52"/>
      <c r="F12" s="52"/>
      <c r="G12" s="52"/>
      <c r="H12" s="52"/>
      <c r="I12" s="52"/>
      <c r="J12" s="52"/>
      <c r="K12" s="36"/>
      <c r="L12" s="36"/>
      <c r="M12" s="36"/>
      <c r="N12" s="36"/>
      <c r="O12" s="36"/>
    </row>
    <row r="13" spans="1:15" ht="14.25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</row>
    <row r="14" spans="1:15" ht="14.25" x14ac:dyDescent="0.2">
      <c r="A14" s="35" t="s">
        <v>12</v>
      </c>
      <c r="B14" s="35"/>
      <c r="C14" s="35"/>
      <c r="D14" s="35"/>
      <c r="E14" s="35"/>
      <c r="F14" s="35"/>
      <c r="G14" s="35"/>
      <c r="H14" s="35"/>
      <c r="I14" s="36"/>
      <c r="J14" s="35"/>
      <c r="K14" s="36"/>
      <c r="L14" s="36"/>
      <c r="M14" s="36"/>
      <c r="N14" s="36"/>
      <c r="O14" s="36"/>
    </row>
    <row r="15" spans="1:15" ht="14.25" x14ac:dyDescent="0.2">
      <c r="A15" s="36"/>
      <c r="B15" s="171" t="s">
        <v>0</v>
      </c>
      <c r="C15" s="171"/>
      <c r="D15" s="171"/>
      <c r="E15" s="171"/>
      <c r="F15" s="36"/>
      <c r="G15" s="171" t="s">
        <v>24</v>
      </c>
      <c r="H15" s="171"/>
      <c r="I15" s="171"/>
      <c r="J15" s="36"/>
      <c r="K15" s="36"/>
      <c r="L15" s="36"/>
      <c r="M15" s="36"/>
      <c r="N15" s="36"/>
      <c r="O15" s="36"/>
    </row>
    <row r="16" spans="1:15" ht="14.25" x14ac:dyDescent="0.2">
      <c r="A16" s="36" t="s">
        <v>83</v>
      </c>
      <c r="B16" s="38" t="s">
        <v>36</v>
      </c>
      <c r="C16" s="40"/>
      <c r="D16" s="40"/>
      <c r="E16" s="40"/>
      <c r="F16" s="40"/>
      <c r="G16" s="40"/>
      <c r="H16" s="40"/>
      <c r="I16" s="40"/>
      <c r="J16" s="38" t="s">
        <v>34</v>
      </c>
      <c r="K16" s="36"/>
      <c r="L16" s="36"/>
      <c r="M16" s="36"/>
      <c r="N16" s="36"/>
      <c r="O16" s="36"/>
    </row>
    <row r="17" spans="1:15" ht="14.25" x14ac:dyDescent="0.2">
      <c r="A17" s="41" t="s">
        <v>84</v>
      </c>
      <c r="B17" s="43" t="s">
        <v>33</v>
      </c>
      <c r="C17" s="82" t="s">
        <v>1</v>
      </c>
      <c r="D17" s="45" t="s">
        <v>37</v>
      </c>
      <c r="E17" s="43" t="s">
        <v>38</v>
      </c>
      <c r="F17" s="44"/>
      <c r="G17" s="91" t="s">
        <v>9</v>
      </c>
      <c r="H17" s="43" t="s">
        <v>4</v>
      </c>
      <c r="I17" s="45" t="s">
        <v>32</v>
      </c>
      <c r="J17" s="43" t="s">
        <v>33</v>
      </c>
      <c r="K17" s="36"/>
      <c r="L17" s="36"/>
      <c r="M17" s="36"/>
      <c r="N17" s="36"/>
      <c r="O17" s="36"/>
    </row>
    <row r="18" spans="1:15" ht="14.25" x14ac:dyDescent="0.2">
      <c r="A18" s="36"/>
      <c r="B18" s="172" t="s">
        <v>19</v>
      </c>
      <c r="C18" s="172"/>
      <c r="D18" s="172"/>
      <c r="E18" s="172"/>
      <c r="F18" s="172"/>
      <c r="G18" s="172"/>
      <c r="H18" s="172"/>
      <c r="I18" s="172"/>
      <c r="J18" s="172"/>
      <c r="K18" s="36"/>
      <c r="L18" s="36"/>
      <c r="M18" s="36"/>
      <c r="N18" s="36"/>
      <c r="O18" s="36"/>
    </row>
    <row r="19" spans="1:15" ht="14.25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</row>
    <row r="20" spans="1:15" ht="16.5" x14ac:dyDescent="0.2">
      <c r="A20" s="36" t="s">
        <v>137</v>
      </c>
      <c r="B20" s="84">
        <v>27.736000000000001</v>
      </c>
      <c r="C20" s="86">
        <v>845</v>
      </c>
      <c r="D20" s="85">
        <v>0</v>
      </c>
      <c r="E20" s="86">
        <f t="shared" ref="E20:E22" si="2">B20+C20+D20</f>
        <v>872.73599999999999</v>
      </c>
      <c r="F20" s="36"/>
      <c r="G20" s="86">
        <f>I20-H20</f>
        <v>708.28489999999999</v>
      </c>
      <c r="H20" s="86">
        <v>119.4511</v>
      </c>
      <c r="I20" s="86">
        <f>E20-J20</f>
        <v>827.73599999999999</v>
      </c>
      <c r="J20" s="84">
        <v>45</v>
      </c>
      <c r="K20" s="36"/>
      <c r="L20" s="36"/>
      <c r="M20" s="36"/>
      <c r="N20" s="36"/>
      <c r="O20" s="36"/>
    </row>
    <row r="21" spans="1:15" ht="16.5" x14ac:dyDescent="0.2">
      <c r="A21" s="36" t="s">
        <v>159</v>
      </c>
      <c r="B21" s="84">
        <f>J20</f>
        <v>45</v>
      </c>
      <c r="C21" s="86">
        <v>747.56499999999983</v>
      </c>
      <c r="D21" s="85">
        <v>0</v>
      </c>
      <c r="E21" s="86">
        <f t="shared" si="2"/>
        <v>792.56499999999983</v>
      </c>
      <c r="F21" s="36"/>
      <c r="G21" s="86">
        <f>I21-H21</f>
        <v>635.74568479057484</v>
      </c>
      <c r="H21" s="86">
        <v>113.81931520942503</v>
      </c>
      <c r="I21" s="86">
        <f t="shared" ref="I21:I22" si="3">E21-J21</f>
        <v>749.56499999999983</v>
      </c>
      <c r="J21" s="84">
        <v>43</v>
      </c>
      <c r="K21" s="36"/>
      <c r="L21" s="36"/>
      <c r="M21" s="36"/>
      <c r="N21" s="36"/>
      <c r="O21" s="36"/>
    </row>
    <row r="22" spans="1:15" ht="16.5" x14ac:dyDescent="0.2">
      <c r="A22" s="35" t="s">
        <v>166</v>
      </c>
      <c r="B22" s="87">
        <f>J21</f>
        <v>43</v>
      </c>
      <c r="C22" s="90">
        <v>835</v>
      </c>
      <c r="D22" s="88">
        <v>0</v>
      </c>
      <c r="E22" s="90">
        <f t="shared" si="2"/>
        <v>878</v>
      </c>
      <c r="F22" s="89"/>
      <c r="G22" s="90">
        <f>I22-H22</f>
        <v>723</v>
      </c>
      <c r="H22" s="90">
        <v>110</v>
      </c>
      <c r="I22" s="90">
        <f t="shared" si="3"/>
        <v>833</v>
      </c>
      <c r="J22" s="87">
        <v>45</v>
      </c>
      <c r="K22" s="36"/>
      <c r="L22" s="36"/>
      <c r="M22" s="36"/>
      <c r="N22" s="36"/>
      <c r="O22" s="36"/>
    </row>
    <row r="23" spans="1:15" ht="16.5" x14ac:dyDescent="0.2">
      <c r="A23" s="77" t="s">
        <v>125</v>
      </c>
      <c r="B23" s="36"/>
      <c r="C23" s="51"/>
      <c r="D23" s="51"/>
      <c r="E23" s="51"/>
      <c r="F23" s="51"/>
      <c r="G23" s="51"/>
      <c r="H23" s="51"/>
      <c r="I23" s="36"/>
      <c r="J23" s="36"/>
      <c r="K23" s="36"/>
      <c r="L23" s="36"/>
      <c r="M23" s="36"/>
      <c r="N23" s="36"/>
      <c r="O23" s="36"/>
    </row>
    <row r="24" spans="1:15" ht="14.25" x14ac:dyDescent="0.2">
      <c r="A24" s="36" t="s">
        <v>128</v>
      </c>
      <c r="B24" s="92"/>
      <c r="C24" s="92"/>
      <c r="D24" s="92"/>
      <c r="E24" s="92"/>
      <c r="F24" s="92"/>
      <c r="G24" s="92"/>
      <c r="H24" s="92"/>
      <c r="I24" s="36"/>
      <c r="J24" s="36"/>
      <c r="K24" s="36"/>
      <c r="L24" s="36"/>
      <c r="M24" s="36"/>
      <c r="N24" s="36"/>
      <c r="O24" s="36"/>
    </row>
    <row r="25" spans="1:15" ht="14.25" x14ac:dyDescent="0.2">
      <c r="A25" s="39"/>
      <c r="B25" s="52"/>
      <c r="C25" s="52"/>
      <c r="D25" s="52"/>
      <c r="E25" s="52"/>
      <c r="F25" s="52"/>
      <c r="G25" s="52"/>
      <c r="H25" s="52"/>
      <c r="I25" s="36"/>
      <c r="J25" s="36"/>
      <c r="K25" s="36"/>
      <c r="L25" s="36"/>
      <c r="M25" s="36"/>
      <c r="N25" s="36"/>
      <c r="O25" s="36"/>
    </row>
    <row r="26" spans="1:15" ht="14.25" x14ac:dyDescent="0.2">
      <c r="A26" s="39"/>
      <c r="B26" s="52"/>
      <c r="C26" s="56"/>
      <c r="D26" s="52"/>
      <c r="E26" s="52"/>
      <c r="F26" s="52"/>
      <c r="G26" s="52"/>
      <c r="H26" s="52"/>
      <c r="I26" s="36"/>
      <c r="J26" s="36"/>
      <c r="K26" s="36"/>
      <c r="L26" s="36"/>
      <c r="M26" s="36"/>
      <c r="N26" s="36"/>
      <c r="O26" s="36"/>
    </row>
    <row r="27" spans="1:15" ht="14.25" x14ac:dyDescent="0.2">
      <c r="A27" s="35" t="s">
        <v>13</v>
      </c>
      <c r="B27" s="35"/>
      <c r="C27" s="35"/>
      <c r="D27" s="35"/>
      <c r="E27" s="35"/>
      <c r="F27" s="35"/>
      <c r="G27" s="35"/>
      <c r="H27" s="35"/>
      <c r="I27" s="36"/>
      <c r="J27" s="35"/>
      <c r="K27" s="36"/>
      <c r="L27" s="36"/>
      <c r="M27" s="36"/>
      <c r="N27" s="36"/>
      <c r="O27" s="36"/>
    </row>
    <row r="28" spans="1:15" ht="14.25" x14ac:dyDescent="0.2">
      <c r="A28" s="36"/>
      <c r="B28" s="171" t="s">
        <v>0</v>
      </c>
      <c r="C28" s="171"/>
      <c r="D28" s="171"/>
      <c r="E28" s="171"/>
      <c r="F28" s="36"/>
      <c r="G28" s="171" t="s">
        <v>24</v>
      </c>
      <c r="H28" s="171"/>
      <c r="I28" s="171"/>
      <c r="J28" s="36"/>
      <c r="K28" s="36"/>
      <c r="L28" s="36"/>
      <c r="M28" s="36"/>
      <c r="N28" s="36"/>
      <c r="O28" s="36"/>
    </row>
    <row r="29" spans="1:15" ht="14.25" x14ac:dyDescent="0.2">
      <c r="A29" s="36" t="s">
        <v>83</v>
      </c>
      <c r="B29" s="38" t="s">
        <v>36</v>
      </c>
      <c r="C29" s="40"/>
      <c r="D29" s="40"/>
      <c r="E29" s="40"/>
      <c r="F29" s="40"/>
      <c r="G29" s="40"/>
      <c r="H29" s="40"/>
      <c r="I29" s="40"/>
      <c r="J29" s="38" t="s">
        <v>34</v>
      </c>
      <c r="K29" s="36"/>
      <c r="L29" s="36"/>
      <c r="M29" s="36"/>
      <c r="N29" s="36"/>
      <c r="O29" s="36"/>
    </row>
    <row r="30" spans="1:15" ht="14.25" x14ac:dyDescent="0.2">
      <c r="A30" s="41" t="s">
        <v>84</v>
      </c>
      <c r="B30" s="43" t="s">
        <v>33</v>
      </c>
      <c r="C30" s="43" t="s">
        <v>1</v>
      </c>
      <c r="D30" s="45" t="s">
        <v>37</v>
      </c>
      <c r="E30" s="43" t="s">
        <v>38</v>
      </c>
      <c r="F30" s="44"/>
      <c r="G30" s="43" t="s">
        <v>35</v>
      </c>
      <c r="H30" s="43" t="s">
        <v>4</v>
      </c>
      <c r="I30" s="43" t="s">
        <v>32</v>
      </c>
      <c r="J30" s="43" t="s">
        <v>95</v>
      </c>
      <c r="K30" s="36"/>
      <c r="L30" s="36"/>
      <c r="M30" s="36"/>
      <c r="N30" s="36"/>
      <c r="O30" s="36"/>
    </row>
    <row r="31" spans="1:15" ht="14.25" x14ac:dyDescent="0.2">
      <c r="A31" s="36"/>
      <c r="B31" s="172" t="s">
        <v>20</v>
      </c>
      <c r="C31" s="172"/>
      <c r="D31" s="172"/>
      <c r="E31" s="172"/>
      <c r="F31" s="172"/>
      <c r="G31" s="172"/>
      <c r="H31" s="172"/>
      <c r="I31" s="172"/>
      <c r="J31" s="172"/>
      <c r="K31" s="36"/>
      <c r="L31" s="36"/>
      <c r="M31" s="36"/>
      <c r="N31" s="36"/>
      <c r="O31" s="36"/>
    </row>
    <row r="32" spans="1:15" ht="14.25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 ht="16.5" x14ac:dyDescent="0.2">
      <c r="A33" s="36" t="s">
        <v>137</v>
      </c>
      <c r="B33" s="85">
        <v>44.128999999999998</v>
      </c>
      <c r="C33" s="86">
        <v>561</v>
      </c>
      <c r="D33" s="85">
        <v>0.16077900000000001</v>
      </c>
      <c r="E33" s="93">
        <f t="shared" ref="E33:E35" si="4">B33+C33+D33</f>
        <v>605.28977900000007</v>
      </c>
      <c r="F33" s="36"/>
      <c r="G33" s="86">
        <f>I33-H33</f>
        <v>474.27177900000004</v>
      </c>
      <c r="H33" s="86">
        <v>99.018000000000001</v>
      </c>
      <c r="I33" s="86">
        <f t="shared" ref="I33:I35" si="5">E33-J33</f>
        <v>573.28977900000007</v>
      </c>
      <c r="J33" s="94">
        <v>32</v>
      </c>
      <c r="K33" s="36"/>
      <c r="L33" s="36"/>
      <c r="M33" s="36"/>
      <c r="N33" s="36"/>
      <c r="O33" s="36"/>
    </row>
    <row r="34" spans="1:15" ht="16.5" x14ac:dyDescent="0.2">
      <c r="A34" s="36" t="s">
        <v>159</v>
      </c>
      <c r="B34" s="85">
        <f>J33</f>
        <v>32</v>
      </c>
      <c r="C34" s="86">
        <v>455.77300000000002</v>
      </c>
      <c r="D34" s="85">
        <v>4.2840214704000006E-2</v>
      </c>
      <c r="E34" s="93">
        <f t="shared" si="4"/>
        <v>487.815840214704</v>
      </c>
      <c r="F34" s="36"/>
      <c r="G34" s="86">
        <f t="shared" ref="G34:G35" si="6">I34-H34</f>
        <v>365.13144403799004</v>
      </c>
      <c r="H34" s="86">
        <v>87.643396176713992</v>
      </c>
      <c r="I34" s="86">
        <f t="shared" si="5"/>
        <v>452.774840214704</v>
      </c>
      <c r="J34" s="94">
        <v>35.040999999999997</v>
      </c>
      <c r="K34" s="36"/>
      <c r="L34" s="36"/>
      <c r="M34" s="36"/>
      <c r="N34" s="36"/>
      <c r="O34" s="36"/>
    </row>
    <row r="35" spans="1:15" ht="16.5" x14ac:dyDescent="0.2">
      <c r="A35" s="35" t="s">
        <v>166</v>
      </c>
      <c r="B35" s="88">
        <f>J34</f>
        <v>35.040999999999997</v>
      </c>
      <c r="C35" s="90">
        <v>535</v>
      </c>
      <c r="D35" s="88">
        <v>0</v>
      </c>
      <c r="E35" s="95">
        <f t="shared" si="4"/>
        <v>570.04099999999994</v>
      </c>
      <c r="F35" s="89"/>
      <c r="G35" s="90">
        <f t="shared" si="6"/>
        <v>400.04099999999994</v>
      </c>
      <c r="H35" s="90">
        <v>125</v>
      </c>
      <c r="I35" s="90">
        <f t="shared" si="5"/>
        <v>525.04099999999994</v>
      </c>
      <c r="J35" s="90">
        <v>45</v>
      </c>
      <c r="K35" s="36"/>
      <c r="L35" s="36"/>
      <c r="M35" s="36"/>
      <c r="N35" s="36"/>
      <c r="O35" s="36"/>
    </row>
    <row r="36" spans="1:15" ht="16.5" x14ac:dyDescent="0.2">
      <c r="A36" s="77" t="s">
        <v>125</v>
      </c>
      <c r="B36" s="36"/>
      <c r="C36" s="51"/>
      <c r="D36" s="51"/>
      <c r="E36" s="51"/>
      <c r="F36" s="51"/>
      <c r="G36" s="51"/>
      <c r="H36" s="51"/>
      <c r="I36" s="36"/>
      <c r="J36" s="36"/>
      <c r="K36" s="36"/>
      <c r="L36" s="36"/>
      <c r="M36" s="36"/>
      <c r="N36" s="36"/>
      <c r="O36" s="36"/>
    </row>
    <row r="37" spans="1:15" ht="14.25" x14ac:dyDescent="0.2">
      <c r="A37" s="36" t="s">
        <v>129</v>
      </c>
      <c r="B37" s="52"/>
      <c r="C37" s="56"/>
      <c r="D37" s="52"/>
      <c r="E37" s="52"/>
      <c r="F37" s="52"/>
      <c r="G37" s="52"/>
      <c r="H37" s="52"/>
      <c r="I37" s="36"/>
      <c r="J37" s="36"/>
      <c r="K37" s="36"/>
      <c r="L37" s="36"/>
      <c r="M37" s="36"/>
      <c r="N37" s="36"/>
      <c r="O37" s="36"/>
    </row>
    <row r="38" spans="1:15" ht="14.25" x14ac:dyDescent="0.2">
      <c r="A38" s="39"/>
      <c r="B38" s="39"/>
      <c r="C38" s="39"/>
      <c r="D38" s="39"/>
      <c r="E38" s="39"/>
      <c r="F38" s="39"/>
      <c r="G38" s="39"/>
      <c r="H38" s="39"/>
      <c r="I38" s="36"/>
      <c r="J38" s="36"/>
      <c r="K38" s="36"/>
      <c r="L38" s="36"/>
      <c r="M38" s="36"/>
      <c r="N38" s="36"/>
      <c r="O38" s="36"/>
    </row>
    <row r="39" spans="1:15" ht="14.25" x14ac:dyDescent="0.2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 ht="14.25" x14ac:dyDescent="0.2">
      <c r="A40" s="35" t="s">
        <v>14</v>
      </c>
      <c r="B40" s="35"/>
      <c r="C40" s="35"/>
      <c r="D40" s="35"/>
      <c r="E40" s="35"/>
      <c r="F40" s="35"/>
      <c r="G40" s="35"/>
      <c r="H40" s="35"/>
      <c r="I40" s="35"/>
      <c r="J40" s="36"/>
      <c r="K40" s="36"/>
      <c r="L40" s="36"/>
      <c r="M40" s="36"/>
      <c r="N40" s="36"/>
      <c r="O40" s="35"/>
    </row>
    <row r="41" spans="1:15" ht="14.25" x14ac:dyDescent="0.2">
      <c r="A41" s="36"/>
      <c r="B41" s="171" t="s">
        <v>27</v>
      </c>
      <c r="C41" s="171"/>
      <c r="D41" s="38" t="s">
        <v>30</v>
      </c>
      <c r="E41" s="171" t="s">
        <v>91</v>
      </c>
      <c r="F41" s="171"/>
      <c r="G41" s="171"/>
      <c r="H41" s="171"/>
      <c r="I41" s="36"/>
      <c r="J41" s="171" t="s">
        <v>24</v>
      </c>
      <c r="K41" s="171"/>
      <c r="L41" s="171"/>
      <c r="M41" s="171"/>
      <c r="N41" s="171"/>
      <c r="O41" s="36"/>
    </row>
    <row r="42" spans="1:15" ht="14.25" x14ac:dyDescent="0.2">
      <c r="A42" s="36" t="s">
        <v>83</v>
      </c>
      <c r="B42" s="38" t="s">
        <v>28</v>
      </c>
      <c r="C42" s="38" t="s">
        <v>29</v>
      </c>
      <c r="D42" s="36"/>
      <c r="E42" s="38" t="s">
        <v>36</v>
      </c>
      <c r="F42" s="38"/>
      <c r="G42" s="38"/>
      <c r="H42" s="38"/>
      <c r="I42" s="36"/>
      <c r="J42" s="38" t="s">
        <v>9</v>
      </c>
      <c r="K42" s="38"/>
      <c r="L42" s="38" t="s">
        <v>98</v>
      </c>
      <c r="M42" s="38"/>
      <c r="N42" s="38"/>
      <c r="O42" s="38" t="s">
        <v>34</v>
      </c>
    </row>
    <row r="43" spans="1:15" ht="14.25" x14ac:dyDescent="0.2">
      <c r="A43" s="41" t="s">
        <v>85</v>
      </c>
      <c r="B43" s="42"/>
      <c r="C43" s="42"/>
      <c r="D43" s="42"/>
      <c r="E43" s="43" t="s">
        <v>33</v>
      </c>
      <c r="F43" s="43" t="s">
        <v>1</v>
      </c>
      <c r="G43" s="43" t="s">
        <v>37</v>
      </c>
      <c r="H43" s="43" t="s">
        <v>38</v>
      </c>
      <c r="I43" s="43"/>
      <c r="J43" s="43" t="s">
        <v>42</v>
      </c>
      <c r="K43" s="43" t="s">
        <v>40</v>
      </c>
      <c r="L43" s="43" t="s">
        <v>5</v>
      </c>
      <c r="M43" s="45" t="s">
        <v>4</v>
      </c>
      <c r="N43" s="43" t="s">
        <v>32</v>
      </c>
      <c r="O43" s="43" t="s">
        <v>95</v>
      </c>
    </row>
    <row r="44" spans="1:15" ht="14.25" x14ac:dyDescent="0.2">
      <c r="A44" s="36"/>
      <c r="B44" s="173" t="s">
        <v>93</v>
      </c>
      <c r="C44" s="172"/>
      <c r="D44" s="96" t="s">
        <v>78</v>
      </c>
      <c r="E44" s="172" t="s">
        <v>21</v>
      </c>
      <c r="F44" s="172"/>
      <c r="G44" s="172"/>
      <c r="H44" s="172"/>
      <c r="I44" s="172"/>
      <c r="J44" s="172"/>
      <c r="K44" s="172"/>
      <c r="L44" s="172"/>
      <c r="M44" s="172"/>
      <c r="N44" s="172"/>
      <c r="O44" s="172"/>
    </row>
    <row r="45" spans="1:15" ht="14.25" x14ac:dyDescent="0.2">
      <c r="A45" s="36"/>
      <c r="B45" s="38"/>
      <c r="C45" s="38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5" ht="16.5" x14ac:dyDescent="0.2">
      <c r="A46" s="36" t="s">
        <v>137</v>
      </c>
      <c r="B46" s="84">
        <v>1871.6</v>
      </c>
      <c r="C46" s="84">
        <v>1775.6</v>
      </c>
      <c r="D46" s="84">
        <f>F46*1000/C46</f>
        <v>4007.3271006983555</v>
      </c>
      <c r="E46" s="84">
        <v>1441.5920000000001</v>
      </c>
      <c r="F46" s="84">
        <v>7115.41</v>
      </c>
      <c r="G46" s="94">
        <v>171.48</v>
      </c>
      <c r="H46" s="84">
        <f>SUM(E46:G46)</f>
        <v>8728.482</v>
      </c>
      <c r="I46" s="84"/>
      <c r="J46" s="84">
        <v>3148.9827068371601</v>
      </c>
      <c r="K46" s="84">
        <f>1.333*528.75</f>
        <v>704.82375000000002</v>
      </c>
      <c r="L46" s="86">
        <f>N46-J46-K46-M46</f>
        <v>886.59554316283993</v>
      </c>
      <c r="M46" s="94">
        <v>1271</v>
      </c>
      <c r="N46" s="84">
        <f>H46-O46</f>
        <v>6011.402</v>
      </c>
      <c r="O46" s="84">
        <v>2717.08</v>
      </c>
    </row>
    <row r="47" spans="1:15" ht="16.5" x14ac:dyDescent="0.2">
      <c r="A47" s="36" t="s">
        <v>159</v>
      </c>
      <c r="B47" s="84">
        <v>1425.5</v>
      </c>
      <c r="C47" s="84">
        <v>1373.5</v>
      </c>
      <c r="D47" s="84">
        <f>F47*1000/C47</f>
        <v>4001.4088096104842</v>
      </c>
      <c r="E47" s="84">
        <f>O46</f>
        <v>2717.08</v>
      </c>
      <c r="F47" s="84">
        <v>5495.9350000000004</v>
      </c>
      <c r="G47" s="94">
        <v>117</v>
      </c>
      <c r="H47" s="84">
        <f t="shared" ref="H47:H48" si="7">SUM(E47:G47)</f>
        <v>8330.0149999999994</v>
      </c>
      <c r="I47" s="84"/>
      <c r="J47" s="84">
        <v>3099</v>
      </c>
      <c r="K47" s="84">
        <f>1.333*486.398</f>
        <v>648.36853400000007</v>
      </c>
      <c r="L47" s="86">
        <f>N47-J47-K47-M47</f>
        <v>963.55646599999909</v>
      </c>
      <c r="M47" s="86">
        <v>1198</v>
      </c>
      <c r="N47" s="84">
        <f t="shared" ref="N47:N48" si="8">H47-O47</f>
        <v>5908.9249999999993</v>
      </c>
      <c r="O47" s="84">
        <v>2421.09</v>
      </c>
    </row>
    <row r="48" spans="1:15" ht="16.5" x14ac:dyDescent="0.2">
      <c r="A48" s="35" t="s">
        <v>166</v>
      </c>
      <c r="B48" s="87">
        <v>1425</v>
      </c>
      <c r="C48" s="87">
        <v>1383</v>
      </c>
      <c r="D48" s="87">
        <f>F48*1000/C48</f>
        <v>4080.0433839479392</v>
      </c>
      <c r="E48" s="87">
        <f>O47</f>
        <v>2421.09</v>
      </c>
      <c r="F48" s="87">
        <v>5642.7</v>
      </c>
      <c r="G48" s="90">
        <v>100</v>
      </c>
      <c r="H48" s="87">
        <f t="shared" si="7"/>
        <v>8163.79</v>
      </c>
      <c r="I48" s="87"/>
      <c r="J48" s="87">
        <v>3158</v>
      </c>
      <c r="K48" s="87">
        <v>705</v>
      </c>
      <c r="L48" s="90">
        <f>N48-J48-K48-M48</f>
        <v>794.79</v>
      </c>
      <c r="M48" s="90">
        <v>1275</v>
      </c>
      <c r="N48" s="87">
        <f t="shared" si="8"/>
        <v>5932.79</v>
      </c>
      <c r="O48" s="87">
        <v>2231</v>
      </c>
    </row>
    <row r="49" spans="1:15" ht="16.5" x14ac:dyDescent="0.2">
      <c r="A49" s="77" t="s">
        <v>125</v>
      </c>
      <c r="B49" s="36"/>
      <c r="C49" s="51"/>
      <c r="D49" s="51"/>
      <c r="E49" s="51"/>
      <c r="F49" s="51"/>
      <c r="G49" s="51"/>
      <c r="H49" s="51"/>
      <c r="I49" s="36"/>
      <c r="J49" s="36"/>
      <c r="K49" s="36"/>
      <c r="L49" s="36"/>
      <c r="M49" s="36"/>
      <c r="N49" s="36"/>
      <c r="O49" s="36"/>
    </row>
    <row r="50" spans="1:15" ht="14.25" x14ac:dyDescent="0.2">
      <c r="A50" s="36" t="s">
        <v>130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</row>
    <row r="51" spans="1:15" ht="14.25" x14ac:dyDescent="0.2">
      <c r="A51" s="36" t="s">
        <v>127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</row>
    <row r="52" spans="1:15" ht="14.25" x14ac:dyDescent="0.2">
      <c r="A52" s="40" t="s">
        <v>26</v>
      </c>
      <c r="B52" s="97">
        <f ca="1">NOW()</f>
        <v>43811.378525810185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</row>
    <row r="53" spans="1:15" ht="15.75" x14ac:dyDescent="0.25">
      <c r="G53" s="14"/>
      <c r="H53" s="14"/>
    </row>
    <row r="54" spans="1:15" ht="15.75" x14ac:dyDescent="0.25">
      <c r="G54" s="14"/>
      <c r="H54" s="14"/>
    </row>
    <row r="55" spans="1:15" ht="15.75" x14ac:dyDescent="0.25">
      <c r="G55" s="14"/>
      <c r="H55" s="14"/>
    </row>
    <row r="56" spans="1:15" ht="15.75" x14ac:dyDescent="0.25">
      <c r="G56" s="14"/>
      <c r="H56" s="14"/>
    </row>
  </sheetData>
  <mergeCells count="14">
    <mergeCell ref="B41:C41"/>
    <mergeCell ref="B44:C44"/>
    <mergeCell ref="B31:J31"/>
    <mergeCell ref="B18:J18"/>
    <mergeCell ref="E44:O44"/>
    <mergeCell ref="E41:H41"/>
    <mergeCell ref="J41:N41"/>
    <mergeCell ref="G2:J2"/>
    <mergeCell ref="G15:I15"/>
    <mergeCell ref="B15:E15"/>
    <mergeCell ref="B2:E2"/>
    <mergeCell ref="B28:E28"/>
    <mergeCell ref="G28:I28"/>
    <mergeCell ref="B5:K5"/>
  </mergeCells>
  <phoneticPr fontId="3" type="noConversion"/>
  <pageMargins left="0.75" right="0.75" top="1" bottom="1" header="0.5" footer="0.5"/>
  <pageSetup scale="61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38"/>
  <sheetViews>
    <sheetView showGridLines="0" zoomScaleNormal="100" workbookViewId="0"/>
  </sheetViews>
  <sheetFormatPr defaultRowHeight="12.75" x14ac:dyDescent="0.2"/>
  <cols>
    <col min="1" max="3" width="11.7109375" customWidth="1"/>
    <col min="4" max="4" width="14.7109375" customWidth="1"/>
    <col min="5" max="5" width="12.5703125" customWidth="1"/>
    <col min="6" max="7" width="11.7109375" customWidth="1"/>
  </cols>
  <sheetData>
    <row r="1" spans="1:11" ht="15.6" customHeight="1" x14ac:dyDescent="0.2">
      <c r="A1" s="35" t="s">
        <v>51</v>
      </c>
      <c r="B1" s="35"/>
      <c r="C1" s="35"/>
      <c r="D1" s="35"/>
      <c r="E1" s="35"/>
      <c r="F1" s="35"/>
      <c r="G1" s="35"/>
      <c r="H1" s="1"/>
      <c r="I1" s="1"/>
      <c r="J1" s="1"/>
      <c r="K1" s="1"/>
    </row>
    <row r="2" spans="1:11" ht="15.6" customHeight="1" x14ac:dyDescent="0.2">
      <c r="A2" s="39" t="s">
        <v>15</v>
      </c>
      <c r="B2" s="78" t="s">
        <v>131</v>
      </c>
      <c r="C2" s="78" t="s">
        <v>132</v>
      </c>
      <c r="D2" s="78" t="s">
        <v>133</v>
      </c>
      <c r="E2" s="78" t="s">
        <v>134</v>
      </c>
      <c r="F2" s="78" t="s">
        <v>135</v>
      </c>
      <c r="G2" s="78" t="s">
        <v>136</v>
      </c>
      <c r="H2" s="1"/>
      <c r="I2" s="1"/>
      <c r="J2" s="1"/>
      <c r="K2" s="1"/>
    </row>
    <row r="3" spans="1:11" ht="15.6" customHeight="1" x14ac:dyDescent="0.2">
      <c r="A3" s="35" t="s">
        <v>16</v>
      </c>
      <c r="B3" s="44"/>
      <c r="C3" s="98"/>
      <c r="D3" s="98"/>
      <c r="E3" s="98"/>
      <c r="F3" s="98"/>
      <c r="G3" s="98"/>
      <c r="H3" s="1"/>
      <c r="I3" s="1"/>
      <c r="J3" s="1"/>
      <c r="K3" s="2"/>
    </row>
    <row r="4" spans="1:11" ht="14.25" x14ac:dyDescent="0.2">
      <c r="A4" s="99"/>
      <c r="B4" s="100" t="s">
        <v>76</v>
      </c>
      <c r="C4" s="100" t="s">
        <v>86</v>
      </c>
      <c r="D4" s="100" t="s">
        <v>104</v>
      </c>
      <c r="E4" s="100" t="s">
        <v>50</v>
      </c>
      <c r="F4" s="100" t="s">
        <v>75</v>
      </c>
      <c r="G4" s="100" t="s">
        <v>76</v>
      </c>
      <c r="H4" s="1"/>
      <c r="I4" s="2"/>
      <c r="J4" s="2"/>
      <c r="K4" s="2"/>
    </row>
    <row r="5" spans="1:11" ht="14.25" x14ac:dyDescent="0.2">
      <c r="A5" s="36"/>
      <c r="B5" s="36"/>
      <c r="C5" s="36"/>
      <c r="D5" s="38"/>
      <c r="E5" s="36"/>
      <c r="F5" s="36"/>
      <c r="G5" s="36"/>
      <c r="H5" s="1"/>
      <c r="I5" s="1"/>
      <c r="J5" s="1"/>
      <c r="K5" s="1"/>
    </row>
    <row r="6" spans="1:11" ht="14.25" x14ac:dyDescent="0.2">
      <c r="A6" s="36" t="s">
        <v>54</v>
      </c>
      <c r="B6" s="101">
        <v>9.59</v>
      </c>
      <c r="C6" s="101">
        <v>158</v>
      </c>
      <c r="D6" s="101">
        <v>15.1</v>
      </c>
      <c r="E6" s="101">
        <v>16.2</v>
      </c>
      <c r="F6" s="101">
        <v>21.7</v>
      </c>
      <c r="G6" s="101">
        <v>8.15</v>
      </c>
      <c r="H6" s="1"/>
      <c r="I6" s="3"/>
      <c r="J6" s="3"/>
      <c r="K6" s="3"/>
    </row>
    <row r="7" spans="1:11" ht="14.25" x14ac:dyDescent="0.2">
      <c r="A7" s="36" t="s">
        <v>55</v>
      </c>
      <c r="B7" s="101">
        <v>11.3</v>
      </c>
      <c r="C7" s="101">
        <v>161</v>
      </c>
      <c r="D7" s="101">
        <v>23.3</v>
      </c>
      <c r="E7" s="101">
        <v>19.3</v>
      </c>
      <c r="F7" s="101">
        <v>22.5</v>
      </c>
      <c r="G7" s="101">
        <v>12.2</v>
      </c>
      <c r="H7" s="1"/>
      <c r="I7" s="3"/>
      <c r="J7" s="3"/>
      <c r="K7" s="3"/>
    </row>
    <row r="8" spans="1:11" ht="14.25" x14ac:dyDescent="0.2">
      <c r="A8" s="36" t="s">
        <v>66</v>
      </c>
      <c r="B8" s="101">
        <v>12.5</v>
      </c>
      <c r="C8" s="101">
        <v>260</v>
      </c>
      <c r="D8" s="101">
        <v>29.1</v>
      </c>
      <c r="E8" s="101">
        <v>24</v>
      </c>
      <c r="F8" s="101">
        <v>31.8</v>
      </c>
      <c r="G8" s="101">
        <v>13.9</v>
      </c>
      <c r="H8" s="1"/>
      <c r="I8" s="3"/>
      <c r="J8" s="3"/>
      <c r="K8" s="3"/>
    </row>
    <row r="9" spans="1:11" ht="14.25" x14ac:dyDescent="0.2">
      <c r="A9" s="36" t="s">
        <v>90</v>
      </c>
      <c r="B9" s="101">
        <v>14.4</v>
      </c>
      <c r="C9" s="101">
        <v>252</v>
      </c>
      <c r="D9" s="101">
        <v>25.4</v>
      </c>
      <c r="E9" s="101">
        <v>26.5</v>
      </c>
      <c r="F9" s="101">
        <v>30.1</v>
      </c>
      <c r="G9" s="101">
        <v>13.8</v>
      </c>
      <c r="H9" s="1"/>
      <c r="I9" s="3"/>
      <c r="J9" s="3"/>
      <c r="K9" s="3"/>
    </row>
    <row r="10" spans="1:11" ht="14.25" x14ac:dyDescent="0.2">
      <c r="A10" s="36" t="s">
        <v>97</v>
      </c>
      <c r="B10" s="101">
        <v>13</v>
      </c>
      <c r="C10" s="101">
        <v>246</v>
      </c>
      <c r="D10" s="101">
        <v>21.4</v>
      </c>
      <c r="E10" s="101">
        <v>20.6</v>
      </c>
      <c r="F10" s="101">
        <v>24.9</v>
      </c>
      <c r="G10" s="101">
        <v>13.8</v>
      </c>
      <c r="H10" s="1"/>
      <c r="I10" s="3"/>
      <c r="J10" s="3"/>
      <c r="K10" s="3"/>
    </row>
    <row r="11" spans="1:11" ht="14.25" x14ac:dyDescent="0.2">
      <c r="A11" s="36" t="s">
        <v>100</v>
      </c>
      <c r="B11" s="101">
        <v>10.1</v>
      </c>
      <c r="C11" s="101">
        <v>194</v>
      </c>
      <c r="D11" s="101">
        <v>21.7</v>
      </c>
      <c r="E11" s="101">
        <v>16.899999999999999</v>
      </c>
      <c r="F11" s="101">
        <v>22</v>
      </c>
      <c r="G11" s="101">
        <v>11.8</v>
      </c>
      <c r="H11" s="1"/>
      <c r="I11" s="3"/>
      <c r="J11" s="3"/>
      <c r="K11" s="3"/>
    </row>
    <row r="12" spans="1:11" ht="14.25" x14ac:dyDescent="0.2">
      <c r="A12" s="36" t="s">
        <v>101</v>
      </c>
      <c r="B12" s="101">
        <v>8.9499999999999993</v>
      </c>
      <c r="C12" s="101">
        <v>227</v>
      </c>
      <c r="D12" s="101">
        <v>19.600000000000001</v>
      </c>
      <c r="E12" s="101">
        <v>15.6</v>
      </c>
      <c r="F12" s="101">
        <v>19.3</v>
      </c>
      <c r="G12" s="101">
        <v>8.9499999999999993</v>
      </c>
      <c r="H12" s="1"/>
      <c r="I12" s="3"/>
      <c r="J12" s="3"/>
      <c r="K12" s="3"/>
    </row>
    <row r="13" spans="1:11" ht="14.25" x14ac:dyDescent="0.2">
      <c r="A13" s="36" t="s">
        <v>117</v>
      </c>
      <c r="B13" s="101">
        <v>9.4700000000000006</v>
      </c>
      <c r="C13" s="101">
        <v>195</v>
      </c>
      <c r="D13" s="101">
        <v>17.399999999999999</v>
      </c>
      <c r="E13" s="101">
        <v>16.600000000000001</v>
      </c>
      <c r="F13" s="101">
        <v>19.7</v>
      </c>
      <c r="G13" s="101">
        <v>8</v>
      </c>
      <c r="H13" s="1"/>
      <c r="I13" s="3"/>
      <c r="J13" s="3"/>
      <c r="K13" s="3"/>
    </row>
    <row r="14" spans="1:11" ht="14.25" x14ac:dyDescent="0.2">
      <c r="A14" s="36" t="s">
        <v>119</v>
      </c>
      <c r="B14" s="101">
        <v>9.33</v>
      </c>
      <c r="C14" s="101">
        <v>142</v>
      </c>
      <c r="D14" s="101">
        <v>17.2</v>
      </c>
      <c r="E14" s="101">
        <v>17.5</v>
      </c>
      <c r="F14" s="101">
        <v>22.9</v>
      </c>
      <c r="G14" s="101">
        <v>9.5299999999999994</v>
      </c>
      <c r="H14" s="1"/>
      <c r="I14" s="3"/>
      <c r="J14" s="3"/>
      <c r="K14" s="3"/>
    </row>
    <row r="15" spans="1:11" ht="14.25" x14ac:dyDescent="0.2">
      <c r="A15" s="36" t="s">
        <v>160</v>
      </c>
      <c r="B15" s="101">
        <v>8.48</v>
      </c>
      <c r="C15" s="101">
        <v>155</v>
      </c>
      <c r="D15" s="101">
        <v>17.399999999999999</v>
      </c>
      <c r="E15" s="101">
        <v>15.8</v>
      </c>
      <c r="F15" s="101">
        <v>21.5</v>
      </c>
      <c r="G15" s="101">
        <v>9.89</v>
      </c>
      <c r="H15" s="1"/>
      <c r="I15" s="7"/>
      <c r="J15" s="3"/>
      <c r="K15" s="3"/>
    </row>
    <row r="16" spans="1:11" ht="14.25" x14ac:dyDescent="0.2">
      <c r="A16" s="36" t="s">
        <v>167</v>
      </c>
      <c r="B16" s="101">
        <v>8.85</v>
      </c>
      <c r="C16" s="101">
        <v>160</v>
      </c>
      <c r="D16" s="101">
        <v>17.649999999999999</v>
      </c>
      <c r="E16" s="101">
        <v>15</v>
      </c>
      <c r="F16" s="101">
        <v>20.6</v>
      </c>
      <c r="G16" s="101">
        <v>9</v>
      </c>
      <c r="H16" s="1"/>
      <c r="I16" s="7"/>
      <c r="J16" s="3"/>
      <c r="K16" s="3"/>
    </row>
    <row r="17" spans="1:11" ht="14.25" x14ac:dyDescent="0.2">
      <c r="A17" s="39"/>
      <c r="B17" s="103"/>
      <c r="C17" s="104"/>
      <c r="D17" s="105"/>
      <c r="E17" s="105"/>
      <c r="F17" s="102"/>
      <c r="G17" s="106"/>
      <c r="H17" s="3"/>
      <c r="I17" s="7"/>
      <c r="J17" s="3"/>
      <c r="K17" s="3"/>
    </row>
    <row r="18" spans="1:11" ht="14.25" x14ac:dyDescent="0.2">
      <c r="A18" s="63" t="s">
        <v>160</v>
      </c>
      <c r="B18" s="101"/>
      <c r="C18" s="101"/>
      <c r="D18" s="101"/>
      <c r="E18" s="101"/>
      <c r="F18" s="101"/>
      <c r="G18" s="101"/>
    </row>
    <row r="19" spans="1:11" ht="14.25" x14ac:dyDescent="0.2">
      <c r="A19" s="39" t="s">
        <v>70</v>
      </c>
      <c r="B19" s="101">
        <v>8.7799999999999994</v>
      </c>
      <c r="C19" s="101">
        <v>141</v>
      </c>
      <c r="D19" s="101">
        <v>16.7</v>
      </c>
      <c r="E19" s="101">
        <v>15.2</v>
      </c>
      <c r="F19" s="101">
        <v>22.3</v>
      </c>
      <c r="G19" s="101">
        <v>9.7899999999999991</v>
      </c>
    </row>
    <row r="20" spans="1:11" ht="14.25" x14ac:dyDescent="0.2">
      <c r="A20" s="39" t="s">
        <v>57</v>
      </c>
      <c r="B20" s="101">
        <v>8.59</v>
      </c>
      <c r="C20" s="101">
        <v>146</v>
      </c>
      <c r="D20" s="101">
        <v>16.7</v>
      </c>
      <c r="E20" s="101">
        <v>15.6</v>
      </c>
      <c r="F20" s="101">
        <v>21.8</v>
      </c>
      <c r="G20" s="101">
        <v>9.7899999999999991</v>
      </c>
    </row>
    <row r="21" spans="1:11" ht="14.25" x14ac:dyDescent="0.2">
      <c r="A21" s="39" t="s">
        <v>58</v>
      </c>
      <c r="B21" s="101">
        <v>8.36</v>
      </c>
      <c r="C21" s="101">
        <v>152</v>
      </c>
      <c r="D21" s="101">
        <v>17</v>
      </c>
      <c r="E21" s="101">
        <v>16.100000000000001</v>
      </c>
      <c r="F21" s="101">
        <v>21.6</v>
      </c>
      <c r="G21" s="101">
        <v>10.199999999999999</v>
      </c>
    </row>
    <row r="22" spans="1:11" ht="14.25" x14ac:dyDescent="0.2">
      <c r="A22" s="39" t="s">
        <v>59</v>
      </c>
      <c r="B22" s="101">
        <v>8.56</v>
      </c>
      <c r="C22" s="101">
        <v>161</v>
      </c>
      <c r="D22" s="101">
        <v>16.899999999999999</v>
      </c>
      <c r="E22" s="101">
        <v>16.3</v>
      </c>
      <c r="F22" s="101">
        <v>20.5</v>
      </c>
      <c r="G22" s="101">
        <v>9.8699999999999992</v>
      </c>
    </row>
    <row r="23" spans="1:11" ht="14.25" x14ac:dyDescent="0.2">
      <c r="A23" s="39" t="s">
        <v>60</v>
      </c>
      <c r="B23" s="101">
        <v>8.64</v>
      </c>
      <c r="C23" s="101">
        <v>170</v>
      </c>
      <c r="D23" s="101">
        <v>17.3</v>
      </c>
      <c r="E23" s="101">
        <v>16.7</v>
      </c>
      <c r="F23" s="101">
        <v>22.7</v>
      </c>
      <c r="G23" s="101">
        <v>9.85</v>
      </c>
    </row>
    <row r="24" spans="1:11" ht="14.25" x14ac:dyDescent="0.2">
      <c r="A24" s="39" t="s">
        <v>61</v>
      </c>
      <c r="B24" s="101">
        <v>8.52</v>
      </c>
      <c r="C24" s="101">
        <v>174</v>
      </c>
      <c r="D24" s="101">
        <v>18</v>
      </c>
      <c r="E24" s="101">
        <v>16.2</v>
      </c>
      <c r="F24" s="101">
        <v>22.3</v>
      </c>
      <c r="G24" s="101">
        <v>9.7899999999999991</v>
      </c>
    </row>
    <row r="25" spans="1:11" ht="14.25" x14ac:dyDescent="0.2">
      <c r="A25" s="39" t="s">
        <v>62</v>
      </c>
      <c r="B25" s="101">
        <v>8.52</v>
      </c>
      <c r="C25" s="101" t="s">
        <v>10</v>
      </c>
      <c r="D25" s="101">
        <v>17.8</v>
      </c>
      <c r="E25" s="101">
        <v>15.8</v>
      </c>
      <c r="F25" s="101">
        <v>19.8</v>
      </c>
      <c r="G25" s="101">
        <v>10.1</v>
      </c>
    </row>
    <row r="26" spans="1:11" ht="14.25" x14ac:dyDescent="0.2">
      <c r="A26" s="39" t="s">
        <v>63</v>
      </c>
      <c r="B26" s="101">
        <v>8.2799999999999994</v>
      </c>
      <c r="C26" s="101" t="s">
        <v>10</v>
      </c>
      <c r="D26" s="101">
        <v>17.600000000000001</v>
      </c>
      <c r="E26" s="101">
        <v>15.8</v>
      </c>
      <c r="F26" s="101">
        <v>20.3</v>
      </c>
      <c r="G26" s="101">
        <v>9.93</v>
      </c>
    </row>
    <row r="27" spans="1:11" ht="14.25" x14ac:dyDescent="0.2">
      <c r="A27" s="39" t="s">
        <v>64</v>
      </c>
      <c r="B27" s="101">
        <v>8.02</v>
      </c>
      <c r="C27" s="101" t="s">
        <v>10</v>
      </c>
      <c r="D27" s="101">
        <v>18.3</v>
      </c>
      <c r="E27" s="101">
        <v>15.2</v>
      </c>
      <c r="F27" s="101">
        <v>20.5</v>
      </c>
      <c r="G27" s="101">
        <v>9.5399999999999991</v>
      </c>
    </row>
    <row r="28" spans="1:11" ht="14.25" x14ac:dyDescent="0.2">
      <c r="A28" s="39" t="s">
        <v>65</v>
      </c>
      <c r="B28" s="101">
        <v>8.31</v>
      </c>
      <c r="C28" s="101" t="s">
        <v>10</v>
      </c>
      <c r="D28" s="101">
        <v>17.899999999999999</v>
      </c>
      <c r="E28" s="101">
        <v>14.9</v>
      </c>
      <c r="F28" s="101">
        <v>21.5</v>
      </c>
      <c r="G28" s="101">
        <v>9.08</v>
      </c>
    </row>
    <row r="29" spans="1:11" ht="14.25" x14ac:dyDescent="0.2">
      <c r="A29" s="39" t="s">
        <v>67</v>
      </c>
      <c r="B29" s="101">
        <v>8.3800000000000008</v>
      </c>
      <c r="C29" s="101" t="s">
        <v>10</v>
      </c>
      <c r="D29" s="101">
        <v>18</v>
      </c>
      <c r="E29" s="101">
        <v>14.8</v>
      </c>
      <c r="F29" s="101">
        <v>20.6</v>
      </c>
      <c r="G29" s="101">
        <v>9.1</v>
      </c>
    </row>
    <row r="30" spans="1:11" ht="14.25" x14ac:dyDescent="0.2">
      <c r="A30" s="39" t="s">
        <v>68</v>
      </c>
      <c r="B30" s="101">
        <v>8.2200000000000006</v>
      </c>
      <c r="C30" s="101">
        <v>149</v>
      </c>
      <c r="D30" s="101">
        <v>17.8</v>
      </c>
      <c r="E30" s="101">
        <v>14.5</v>
      </c>
      <c r="F30" s="101">
        <v>20.5</v>
      </c>
      <c r="G30" s="101">
        <v>8.84</v>
      </c>
    </row>
    <row r="31" spans="1:11" ht="14.25" x14ac:dyDescent="0.2">
      <c r="A31" s="39"/>
      <c r="B31" s="101"/>
      <c r="C31" s="101"/>
      <c r="D31" s="101"/>
      <c r="E31" s="101"/>
      <c r="F31" s="101"/>
      <c r="G31" s="101"/>
    </row>
    <row r="32" spans="1:11" ht="14.25" x14ac:dyDescent="0.2">
      <c r="A32" s="63" t="s">
        <v>167</v>
      </c>
      <c r="B32" s="101"/>
      <c r="C32" s="101"/>
      <c r="D32" s="101"/>
      <c r="E32" s="101"/>
      <c r="F32" s="101"/>
      <c r="G32" s="101"/>
    </row>
    <row r="33" spans="1:7" ht="14.25" x14ac:dyDescent="0.2">
      <c r="A33" s="39" t="s">
        <v>70</v>
      </c>
      <c r="B33" s="101">
        <v>8.35</v>
      </c>
      <c r="C33" s="101">
        <v>150</v>
      </c>
      <c r="D33" s="101">
        <v>18.5</v>
      </c>
      <c r="E33" s="101">
        <v>14.2</v>
      </c>
      <c r="F33" s="101">
        <v>19.8</v>
      </c>
      <c r="G33" s="101">
        <v>8.84</v>
      </c>
    </row>
    <row r="34" spans="1:7" ht="14.25" x14ac:dyDescent="0.2">
      <c r="A34" s="35" t="s">
        <v>57</v>
      </c>
      <c r="B34" s="107">
        <v>8.6</v>
      </c>
      <c r="C34" s="107">
        <v>154</v>
      </c>
      <c r="D34" s="107">
        <v>17.399999999999999</v>
      </c>
      <c r="E34" s="107">
        <v>14.2</v>
      </c>
      <c r="F34" s="107">
        <v>20.399999999999999</v>
      </c>
      <c r="G34" s="107">
        <v>9.0500000000000007</v>
      </c>
    </row>
    <row r="35" spans="1:7" ht="16.5" x14ac:dyDescent="0.2">
      <c r="A35" s="36" t="s">
        <v>138</v>
      </c>
      <c r="B35" s="36"/>
      <c r="C35" s="36"/>
      <c r="D35" s="36"/>
      <c r="E35" s="36"/>
      <c r="F35" s="36"/>
      <c r="G35" s="36"/>
    </row>
    <row r="36" spans="1:7" ht="14.25" x14ac:dyDescent="0.2">
      <c r="A36" s="36" t="s">
        <v>56</v>
      </c>
      <c r="B36" s="108"/>
      <c r="C36" s="108" t="s">
        <v>105</v>
      </c>
      <c r="D36" s="108"/>
      <c r="E36" s="108"/>
      <c r="F36" s="108"/>
      <c r="G36" s="108"/>
    </row>
    <row r="37" spans="1:7" ht="14.25" x14ac:dyDescent="0.2">
      <c r="A37" s="36" t="s">
        <v>139</v>
      </c>
      <c r="B37" s="36"/>
      <c r="C37" s="36"/>
      <c r="D37" s="36"/>
      <c r="E37" s="36"/>
      <c r="F37" s="36"/>
      <c r="G37" s="36"/>
    </row>
    <row r="38" spans="1:7" ht="14.25" x14ac:dyDescent="0.2">
      <c r="A38" s="40" t="s">
        <v>26</v>
      </c>
      <c r="B38" s="69">
        <f ca="1">NOW()</f>
        <v>43811.378525810185</v>
      </c>
      <c r="C38" s="36"/>
      <c r="D38" s="36"/>
      <c r="E38" s="36"/>
      <c r="F38" s="36"/>
      <c r="G38" s="36"/>
    </row>
  </sheetData>
  <phoneticPr fontId="3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58"/>
  <sheetViews>
    <sheetView showGridLines="0" zoomScaleNormal="100" workbookViewId="0"/>
  </sheetViews>
  <sheetFormatPr defaultRowHeight="12.75" x14ac:dyDescent="0.2"/>
  <cols>
    <col min="1" max="2" width="11.7109375" customWidth="1"/>
    <col min="3" max="3" width="11.5703125" customWidth="1"/>
    <col min="4" max="4" width="13.7109375" customWidth="1"/>
    <col min="5" max="5" width="10.5703125" customWidth="1"/>
    <col min="6" max="7" width="10.7109375" customWidth="1"/>
    <col min="8" max="9" width="10.5703125" customWidth="1"/>
  </cols>
  <sheetData>
    <row r="1" spans="1:9" ht="14.25" x14ac:dyDescent="0.2">
      <c r="A1" s="35" t="s">
        <v>22</v>
      </c>
      <c r="B1" s="35"/>
      <c r="C1" s="35"/>
      <c r="D1" s="35"/>
      <c r="E1" s="35"/>
      <c r="F1" s="35"/>
      <c r="G1" s="35"/>
      <c r="H1" s="35"/>
      <c r="I1" s="36"/>
    </row>
    <row r="2" spans="1:9" ht="15.6" customHeight="1" x14ac:dyDescent="0.2">
      <c r="A2" s="109" t="s">
        <v>15</v>
      </c>
      <c r="B2" s="78" t="s">
        <v>44</v>
      </c>
      <c r="C2" s="78" t="s">
        <v>17</v>
      </c>
      <c r="D2" s="78" t="s">
        <v>88</v>
      </c>
      <c r="E2" s="110" t="s">
        <v>52</v>
      </c>
      <c r="F2" s="110" t="s">
        <v>45</v>
      </c>
      <c r="G2" s="78" t="s">
        <v>49</v>
      </c>
      <c r="H2" s="78" t="s">
        <v>140</v>
      </c>
      <c r="I2" s="111" t="s">
        <v>48</v>
      </c>
    </row>
    <row r="3" spans="1:9" ht="15.6" customHeight="1" x14ac:dyDescent="0.2">
      <c r="A3" s="82" t="s">
        <v>16</v>
      </c>
      <c r="B3" s="43" t="s">
        <v>141</v>
      </c>
      <c r="C3" s="43" t="s">
        <v>142</v>
      </c>
      <c r="D3" s="43" t="s">
        <v>143</v>
      </c>
      <c r="E3" s="43" t="s">
        <v>143</v>
      </c>
      <c r="F3" s="43" t="s">
        <v>144</v>
      </c>
      <c r="G3" s="43" t="s">
        <v>145</v>
      </c>
      <c r="H3" s="43"/>
      <c r="I3" s="43" t="s">
        <v>146</v>
      </c>
    </row>
    <row r="4" spans="1:9" ht="14.25" x14ac:dyDescent="0.2">
      <c r="A4" s="36"/>
      <c r="B4" s="55" t="s">
        <v>106</v>
      </c>
      <c r="C4" s="112"/>
      <c r="D4" s="112"/>
      <c r="E4" s="112"/>
      <c r="F4" s="112"/>
      <c r="G4" s="112"/>
      <c r="H4" s="112"/>
      <c r="I4" s="112"/>
    </row>
    <row r="5" spans="1:9" ht="14.25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ht="14.25" x14ac:dyDescent="0.2">
      <c r="A6" s="36" t="s">
        <v>54</v>
      </c>
      <c r="B6" s="101">
        <v>35.950000000000003</v>
      </c>
      <c r="C6" s="101">
        <v>40.270000000000003</v>
      </c>
      <c r="D6" s="101">
        <v>52.8</v>
      </c>
      <c r="E6" s="101">
        <v>42.88</v>
      </c>
      <c r="F6" s="101">
        <v>59.62</v>
      </c>
      <c r="G6" s="101">
        <v>39.29</v>
      </c>
      <c r="H6" s="101">
        <v>31.99</v>
      </c>
      <c r="I6" s="101">
        <v>32.26</v>
      </c>
    </row>
    <row r="7" spans="1:9" ht="14.25" x14ac:dyDescent="0.2">
      <c r="A7" s="36" t="s">
        <v>55</v>
      </c>
      <c r="B7" s="101">
        <v>53.2</v>
      </c>
      <c r="C7" s="101">
        <v>54.5</v>
      </c>
      <c r="D7" s="101">
        <v>86.12</v>
      </c>
      <c r="E7" s="101">
        <v>58.68</v>
      </c>
      <c r="F7" s="101">
        <v>77.239999999999995</v>
      </c>
      <c r="G7" s="101">
        <v>60.76</v>
      </c>
      <c r="H7" s="101">
        <v>51.52</v>
      </c>
      <c r="I7" s="101">
        <v>51.34</v>
      </c>
    </row>
    <row r="8" spans="1:9" ht="14.25" x14ac:dyDescent="0.2">
      <c r="A8" s="36" t="s">
        <v>66</v>
      </c>
      <c r="B8" s="101">
        <v>51.9</v>
      </c>
      <c r="C8" s="101">
        <v>53.22</v>
      </c>
      <c r="D8" s="101">
        <v>83.2</v>
      </c>
      <c r="E8" s="101">
        <v>57.19</v>
      </c>
      <c r="F8" s="101">
        <v>100.15</v>
      </c>
      <c r="G8" s="101">
        <v>56.09</v>
      </c>
      <c r="H8" s="101">
        <v>48.11</v>
      </c>
      <c r="I8" s="101">
        <v>50.33</v>
      </c>
    </row>
    <row r="9" spans="1:9" ht="14.25" x14ac:dyDescent="0.2">
      <c r="A9" s="36" t="s">
        <v>90</v>
      </c>
      <c r="B9" s="101">
        <v>47.13</v>
      </c>
      <c r="C9" s="101">
        <v>48.6</v>
      </c>
      <c r="D9" s="101">
        <v>65.87</v>
      </c>
      <c r="E9" s="101">
        <v>56.17</v>
      </c>
      <c r="F9" s="101">
        <v>91.83</v>
      </c>
      <c r="G9" s="101">
        <v>46.66</v>
      </c>
      <c r="H9" s="101">
        <v>51.8</v>
      </c>
      <c r="I9" s="101">
        <v>43.24</v>
      </c>
    </row>
    <row r="10" spans="1:9" ht="14.25" x14ac:dyDescent="0.2">
      <c r="A10" s="36" t="s">
        <v>97</v>
      </c>
      <c r="B10" s="101">
        <v>38.229999999999997</v>
      </c>
      <c r="C10" s="101">
        <v>60.66</v>
      </c>
      <c r="D10" s="101">
        <v>59.12</v>
      </c>
      <c r="E10" s="101">
        <v>43.7</v>
      </c>
      <c r="F10" s="101">
        <v>68.23</v>
      </c>
      <c r="G10" s="101">
        <v>39.43</v>
      </c>
      <c r="H10" s="101">
        <v>43.93</v>
      </c>
      <c r="I10" s="101">
        <v>39.76</v>
      </c>
    </row>
    <row r="11" spans="1:9" ht="14.25" x14ac:dyDescent="0.2">
      <c r="A11" s="36" t="s">
        <v>100</v>
      </c>
      <c r="B11" s="101">
        <v>31.6</v>
      </c>
      <c r="C11" s="101">
        <v>45.74</v>
      </c>
      <c r="D11" s="101">
        <v>66.72</v>
      </c>
      <c r="E11" s="101">
        <v>37.81</v>
      </c>
      <c r="F11" s="101">
        <v>57.96</v>
      </c>
      <c r="G11" s="101">
        <v>37.479999999999997</v>
      </c>
      <c r="H11" s="101">
        <v>33.43</v>
      </c>
      <c r="I11" s="101">
        <v>31.36</v>
      </c>
    </row>
    <row r="12" spans="1:9" ht="14.25" x14ac:dyDescent="0.2">
      <c r="A12" s="36" t="s">
        <v>101</v>
      </c>
      <c r="B12" s="101">
        <v>29.86</v>
      </c>
      <c r="C12" s="101">
        <v>45.87</v>
      </c>
      <c r="D12" s="101">
        <v>57.81</v>
      </c>
      <c r="E12" s="101">
        <v>35.270000000000003</v>
      </c>
      <c r="F12" s="101">
        <v>58.26</v>
      </c>
      <c r="G12" s="101">
        <v>39.25</v>
      </c>
      <c r="H12" s="101">
        <v>32.229999999999997</v>
      </c>
      <c r="I12" s="101">
        <v>30.07</v>
      </c>
    </row>
    <row r="13" spans="1:9" ht="14.25" x14ac:dyDescent="0.2">
      <c r="A13" s="36" t="s">
        <v>117</v>
      </c>
      <c r="B13" s="101">
        <v>32.549999999999997</v>
      </c>
      <c r="C13" s="101">
        <v>40.92</v>
      </c>
      <c r="D13" s="101">
        <v>53.54</v>
      </c>
      <c r="E13" s="101">
        <v>38.729999999999997</v>
      </c>
      <c r="F13" s="101">
        <v>66.73</v>
      </c>
      <c r="G13" s="101">
        <v>37.43</v>
      </c>
      <c r="H13" s="101">
        <v>33.07</v>
      </c>
      <c r="I13" s="101">
        <v>34.75</v>
      </c>
    </row>
    <row r="14" spans="1:9" ht="14.25" x14ac:dyDescent="0.2">
      <c r="A14" s="36" t="s">
        <v>119</v>
      </c>
      <c r="B14" s="101">
        <v>30.04</v>
      </c>
      <c r="C14" s="101">
        <v>31.87</v>
      </c>
      <c r="D14" s="101">
        <v>54.57</v>
      </c>
      <c r="E14" s="101">
        <v>38.270000000000003</v>
      </c>
      <c r="F14" s="101">
        <v>66.72</v>
      </c>
      <c r="G14" s="101">
        <v>30.35</v>
      </c>
      <c r="H14" s="101">
        <v>34.159999999999997</v>
      </c>
      <c r="I14" s="101">
        <v>31.21</v>
      </c>
    </row>
    <row r="15" spans="1:9" ht="16.5" x14ac:dyDescent="0.2">
      <c r="A15" s="36" t="s">
        <v>160</v>
      </c>
      <c r="B15" s="101">
        <v>28.26</v>
      </c>
      <c r="C15" s="101">
        <v>35.14</v>
      </c>
      <c r="D15" s="101">
        <v>53.28</v>
      </c>
      <c r="E15" s="101">
        <v>36.090000000000003</v>
      </c>
      <c r="F15" s="101">
        <v>64.72</v>
      </c>
      <c r="G15" s="101">
        <v>26.93</v>
      </c>
      <c r="H15" s="101">
        <v>31.65</v>
      </c>
      <c r="I15" s="101">
        <v>33.11</v>
      </c>
    </row>
    <row r="16" spans="1:9" ht="16.5" x14ac:dyDescent="0.2">
      <c r="A16" s="36" t="s">
        <v>165</v>
      </c>
      <c r="B16" s="101">
        <v>31</v>
      </c>
      <c r="C16" s="101">
        <v>39</v>
      </c>
      <c r="D16" s="101">
        <v>57</v>
      </c>
      <c r="E16" s="101">
        <v>37</v>
      </c>
      <c r="F16" s="101">
        <v>67</v>
      </c>
      <c r="G16" s="101">
        <v>30</v>
      </c>
      <c r="H16" s="101">
        <v>34</v>
      </c>
      <c r="I16" s="101">
        <v>35.5</v>
      </c>
    </row>
    <row r="17" spans="1:9" ht="14.25" x14ac:dyDescent="0.2">
      <c r="A17" s="36"/>
      <c r="B17" s="52"/>
      <c r="C17" s="104"/>
      <c r="D17" s="113"/>
      <c r="E17" s="113"/>
      <c r="F17" s="113"/>
      <c r="G17" s="113"/>
      <c r="H17" s="36"/>
      <c r="I17" s="36"/>
    </row>
    <row r="18" spans="1:9" ht="14.25" x14ac:dyDescent="0.2">
      <c r="A18" s="36" t="s">
        <v>160</v>
      </c>
      <c r="B18" s="101"/>
      <c r="C18" s="101"/>
      <c r="D18" s="101"/>
      <c r="E18" s="101"/>
      <c r="F18" s="101"/>
      <c r="G18" s="101"/>
      <c r="H18" s="101"/>
      <c r="I18" s="101"/>
    </row>
    <row r="19" spans="1:9" ht="14.25" x14ac:dyDescent="0.2">
      <c r="A19" s="39" t="s">
        <v>57</v>
      </c>
      <c r="B19" s="101">
        <v>28.89</v>
      </c>
      <c r="C19" s="101">
        <v>30.56</v>
      </c>
      <c r="D19" s="101">
        <v>54</v>
      </c>
      <c r="E19" s="101">
        <v>38.94</v>
      </c>
      <c r="F19" s="101">
        <v>66.63</v>
      </c>
      <c r="G19" s="101">
        <v>27.18</v>
      </c>
      <c r="H19" s="101">
        <v>33</v>
      </c>
      <c r="I19" s="101">
        <v>31.29</v>
      </c>
    </row>
    <row r="20" spans="1:9" ht="14.25" x14ac:dyDescent="0.2">
      <c r="A20" s="39" t="s">
        <v>58</v>
      </c>
      <c r="B20" s="101">
        <v>27.492999999999999</v>
      </c>
      <c r="C20" s="101">
        <v>31.45</v>
      </c>
      <c r="D20" s="101">
        <v>52.8</v>
      </c>
      <c r="E20" s="101">
        <v>37.450000000000003</v>
      </c>
      <c r="F20" s="101">
        <v>64.8</v>
      </c>
      <c r="G20" s="101">
        <v>26.37</v>
      </c>
      <c r="H20" s="101">
        <v>34.33</v>
      </c>
      <c r="I20" s="101">
        <v>35</v>
      </c>
    </row>
    <row r="21" spans="1:9" ht="14.25" x14ac:dyDescent="0.2">
      <c r="A21" s="39" t="s">
        <v>59</v>
      </c>
      <c r="B21" s="101">
        <v>28.14</v>
      </c>
      <c r="C21" s="101">
        <v>32.06</v>
      </c>
      <c r="D21" s="101">
        <v>53.5</v>
      </c>
      <c r="E21" s="101">
        <v>36.75</v>
      </c>
      <c r="F21" s="101">
        <v>62.25</v>
      </c>
      <c r="G21" s="101">
        <v>26.46</v>
      </c>
      <c r="H21" s="101">
        <v>31</v>
      </c>
      <c r="I21" s="101">
        <v>32.5</v>
      </c>
    </row>
    <row r="22" spans="1:9" ht="14.25" x14ac:dyDescent="0.2">
      <c r="A22" s="39" t="s">
        <v>60</v>
      </c>
      <c r="B22" s="101">
        <v>28.44</v>
      </c>
      <c r="C22" s="101">
        <v>33.94</v>
      </c>
      <c r="D22" s="101">
        <v>53.5</v>
      </c>
      <c r="E22" s="101">
        <v>37.130000000000003</v>
      </c>
      <c r="F22" s="101">
        <v>61.88</v>
      </c>
      <c r="G22" s="101">
        <v>26.21</v>
      </c>
      <c r="H22" s="101" t="s">
        <v>10</v>
      </c>
      <c r="I22" s="101">
        <v>33.130000000000003</v>
      </c>
    </row>
    <row r="23" spans="1:9" ht="14.25" x14ac:dyDescent="0.2">
      <c r="A23" s="39" t="s">
        <v>61</v>
      </c>
      <c r="B23" s="101">
        <v>29.58</v>
      </c>
      <c r="C23" s="101">
        <v>36.44</v>
      </c>
      <c r="D23" s="101">
        <v>53</v>
      </c>
      <c r="E23" s="101">
        <v>37.75</v>
      </c>
      <c r="F23" s="101">
        <v>61.13</v>
      </c>
      <c r="G23" s="101">
        <v>25.65</v>
      </c>
      <c r="H23" s="101" t="s">
        <v>10</v>
      </c>
      <c r="I23" s="101">
        <v>33</v>
      </c>
    </row>
    <row r="24" spans="1:9" ht="14.25" x14ac:dyDescent="0.2">
      <c r="A24" s="39" t="s">
        <v>62</v>
      </c>
      <c r="B24" s="101">
        <v>28.62</v>
      </c>
      <c r="C24" s="101">
        <v>35.700000000000003</v>
      </c>
      <c r="D24" s="101">
        <v>53.2</v>
      </c>
      <c r="E24" s="101">
        <v>36.15</v>
      </c>
      <c r="F24" s="101">
        <v>61</v>
      </c>
      <c r="G24" s="101">
        <v>26.72</v>
      </c>
      <c r="H24" s="101" t="s">
        <v>10</v>
      </c>
      <c r="I24" s="101">
        <v>32.15</v>
      </c>
    </row>
    <row r="25" spans="1:9" ht="14.25" x14ac:dyDescent="0.2">
      <c r="A25" s="39" t="s">
        <v>63</v>
      </c>
      <c r="B25" s="101">
        <v>27.86</v>
      </c>
      <c r="C25" s="101">
        <v>37.130000000000003</v>
      </c>
      <c r="D25" s="101">
        <v>54</v>
      </c>
      <c r="E25" s="101">
        <v>35.44</v>
      </c>
      <c r="F25" s="101">
        <v>65.25</v>
      </c>
      <c r="G25" s="101">
        <v>27.94</v>
      </c>
      <c r="H25" s="101" t="s">
        <v>10</v>
      </c>
      <c r="I25" s="101">
        <v>31.86</v>
      </c>
    </row>
    <row r="26" spans="1:9" ht="14.25" x14ac:dyDescent="0.2">
      <c r="A26" s="39" t="s">
        <v>64</v>
      </c>
      <c r="B26" s="101">
        <v>26.93</v>
      </c>
      <c r="C26" s="101">
        <v>35.65</v>
      </c>
      <c r="D26" s="101">
        <v>53.4</v>
      </c>
      <c r="E26" s="101">
        <v>34.1</v>
      </c>
      <c r="F26" s="101">
        <v>66</v>
      </c>
      <c r="G26" s="101">
        <v>27.76</v>
      </c>
      <c r="H26" s="101" t="s">
        <v>10</v>
      </c>
      <c r="I26" s="101">
        <v>33.700000000000003</v>
      </c>
    </row>
    <row r="27" spans="1:9" ht="14.25" x14ac:dyDescent="0.2">
      <c r="A27" s="39" t="s">
        <v>65</v>
      </c>
      <c r="B27" s="101">
        <v>28.24</v>
      </c>
      <c r="C27" s="101">
        <v>36.69</v>
      </c>
      <c r="D27" s="101">
        <v>51</v>
      </c>
      <c r="E27" s="101">
        <v>34.630000000000003</v>
      </c>
      <c r="F27" s="101">
        <v>66</v>
      </c>
      <c r="G27" s="101">
        <v>27.38</v>
      </c>
      <c r="H27" s="101" t="s">
        <v>10</v>
      </c>
      <c r="I27" s="101" t="s">
        <v>10</v>
      </c>
    </row>
    <row r="28" spans="1:9" ht="14.25" x14ac:dyDescent="0.2">
      <c r="A28" s="39" t="s">
        <v>67</v>
      </c>
      <c r="B28" s="101">
        <v>27.68</v>
      </c>
      <c r="C28" s="101">
        <v>37.5</v>
      </c>
      <c r="D28" s="101">
        <v>52.5</v>
      </c>
      <c r="E28" s="101">
        <v>34.56</v>
      </c>
      <c r="F28" s="101">
        <v>66.13</v>
      </c>
      <c r="G28" s="101">
        <v>26.75</v>
      </c>
      <c r="H28" s="101" t="s">
        <v>10</v>
      </c>
      <c r="I28" s="101">
        <v>35</v>
      </c>
    </row>
    <row r="29" spans="1:9" ht="14.25" x14ac:dyDescent="0.2">
      <c r="A29" s="39" t="s">
        <v>68</v>
      </c>
      <c r="B29" s="101">
        <v>28.41</v>
      </c>
      <c r="C29" s="101">
        <v>36.450000000000003</v>
      </c>
      <c r="D29" s="101">
        <v>53.4</v>
      </c>
      <c r="E29" s="101">
        <v>35.25</v>
      </c>
      <c r="F29" s="101">
        <v>66</v>
      </c>
      <c r="G29" s="101">
        <v>27.31</v>
      </c>
      <c r="H29" s="101" t="s">
        <v>10</v>
      </c>
      <c r="I29" s="101" t="s">
        <v>10</v>
      </c>
    </row>
    <row r="30" spans="1:9" ht="14.25" x14ac:dyDescent="0.2">
      <c r="A30" s="39" t="s">
        <v>70</v>
      </c>
      <c r="B30" s="101">
        <v>28.81</v>
      </c>
      <c r="C30" s="101">
        <v>38.07</v>
      </c>
      <c r="D30" s="101">
        <v>55</v>
      </c>
      <c r="E30" s="101">
        <v>35</v>
      </c>
      <c r="F30" s="101">
        <v>67</v>
      </c>
      <c r="G30" s="101">
        <v>27.48</v>
      </c>
      <c r="H30" s="101" t="s">
        <v>10</v>
      </c>
      <c r="I30" s="101">
        <v>34</v>
      </c>
    </row>
    <row r="31" spans="1:9" ht="14.25" x14ac:dyDescent="0.2">
      <c r="A31" s="39"/>
      <c r="B31" s="101"/>
      <c r="C31" s="101"/>
      <c r="D31" s="101"/>
      <c r="E31" s="101"/>
      <c r="F31" s="101"/>
      <c r="G31" s="101"/>
      <c r="H31" s="101"/>
      <c r="I31" s="101"/>
    </row>
    <row r="32" spans="1:9" ht="14.25" x14ac:dyDescent="0.2">
      <c r="A32" s="36" t="s">
        <v>167</v>
      </c>
      <c r="B32" s="101"/>
      <c r="C32" s="101"/>
      <c r="D32" s="101"/>
      <c r="E32" s="101"/>
      <c r="F32" s="101"/>
      <c r="G32" s="101"/>
      <c r="H32" s="101"/>
      <c r="I32" s="101"/>
    </row>
    <row r="33" spans="1:9" ht="14.25" x14ac:dyDescent="0.2">
      <c r="A33" s="39" t="s">
        <v>57</v>
      </c>
      <c r="B33" s="101">
        <v>30.14</v>
      </c>
      <c r="C33" s="101">
        <v>37.94</v>
      </c>
      <c r="D33" s="101">
        <v>56</v>
      </c>
      <c r="E33" s="101">
        <v>36.31</v>
      </c>
      <c r="F33" s="101">
        <v>61.5</v>
      </c>
      <c r="G33" s="101">
        <v>28.3</v>
      </c>
      <c r="H33" s="101" t="s">
        <v>10</v>
      </c>
      <c r="I33" s="101" t="s">
        <v>10</v>
      </c>
    </row>
    <row r="34" spans="1:9" ht="14.25" x14ac:dyDescent="0.2">
      <c r="A34" s="35" t="s">
        <v>58</v>
      </c>
      <c r="B34" s="107">
        <v>30.62</v>
      </c>
      <c r="C34" s="107">
        <v>38.4</v>
      </c>
      <c r="D34" s="107">
        <v>56</v>
      </c>
      <c r="E34" s="107">
        <v>36.15</v>
      </c>
      <c r="F34" s="107">
        <v>63.1</v>
      </c>
      <c r="G34" s="107">
        <v>30.36</v>
      </c>
      <c r="H34" s="107" t="s">
        <v>10</v>
      </c>
      <c r="I34" s="107">
        <v>35</v>
      </c>
    </row>
    <row r="35" spans="1:9" ht="16.5" x14ac:dyDescent="0.2">
      <c r="A35" s="77" t="s">
        <v>156</v>
      </c>
      <c r="B35" s="114"/>
      <c r="C35" s="114"/>
      <c r="D35" s="114"/>
      <c r="E35" s="114"/>
      <c r="F35" s="114"/>
      <c r="G35" s="114"/>
      <c r="H35" s="114"/>
      <c r="I35" s="114"/>
    </row>
    <row r="36" spans="1:9" ht="16.5" x14ac:dyDescent="0.2">
      <c r="A36" s="36" t="s">
        <v>157</v>
      </c>
      <c r="B36" s="114"/>
      <c r="C36" s="114"/>
      <c r="D36" s="114"/>
      <c r="E36" s="114"/>
      <c r="F36" s="114"/>
      <c r="G36" s="114"/>
      <c r="H36" s="114"/>
      <c r="I36" s="114"/>
    </row>
    <row r="37" spans="1:9" ht="14.25" x14ac:dyDescent="0.2">
      <c r="A37" s="36" t="s">
        <v>147</v>
      </c>
      <c r="B37" s="36"/>
      <c r="C37" s="36"/>
      <c r="D37" s="36"/>
      <c r="E37" s="36"/>
      <c r="F37" s="114"/>
      <c r="G37" s="36"/>
      <c r="H37" s="36"/>
      <c r="I37" s="36"/>
    </row>
    <row r="38" spans="1:9" ht="14.25" x14ac:dyDescent="0.2">
      <c r="A38" s="40" t="s">
        <v>26</v>
      </c>
      <c r="B38" s="69">
        <f ca="1">NOW()</f>
        <v>43811.378525810185</v>
      </c>
      <c r="C38" s="36"/>
      <c r="D38" s="36"/>
      <c r="E38" s="36"/>
      <c r="F38" s="36"/>
      <c r="G38" s="36"/>
      <c r="H38" s="36"/>
      <c r="I38" s="36"/>
    </row>
    <row r="39" spans="1:9" ht="15.75" x14ac:dyDescent="0.25">
      <c r="C39" s="14"/>
      <c r="G39" s="14"/>
      <c r="H39" s="14"/>
      <c r="I39" s="14"/>
    </row>
    <row r="40" spans="1:9" ht="15.75" x14ac:dyDescent="0.25">
      <c r="C40" s="14"/>
      <c r="G40" s="14"/>
      <c r="H40" s="14"/>
      <c r="I40" s="14"/>
    </row>
    <row r="41" spans="1:9" ht="15.75" x14ac:dyDescent="0.25">
      <c r="C41" s="14"/>
      <c r="G41" s="14"/>
      <c r="H41" s="14"/>
      <c r="I41" s="14"/>
    </row>
    <row r="42" spans="1:9" ht="15.75" x14ac:dyDescent="0.25">
      <c r="C42" s="14"/>
      <c r="G42" s="14"/>
      <c r="H42" s="14"/>
      <c r="I42" s="14"/>
    </row>
    <row r="43" spans="1:9" ht="15.75" x14ac:dyDescent="0.25">
      <c r="C43" s="14"/>
      <c r="G43" s="14"/>
      <c r="H43" s="14"/>
      <c r="I43" s="14"/>
    </row>
    <row r="44" spans="1:9" ht="15.75" x14ac:dyDescent="0.25">
      <c r="C44" s="14"/>
      <c r="G44" s="14"/>
      <c r="H44" s="14"/>
      <c r="I44" s="14"/>
    </row>
    <row r="45" spans="1:9" ht="15.75" x14ac:dyDescent="0.25">
      <c r="C45" s="14"/>
      <c r="G45" s="14"/>
      <c r="H45" s="14"/>
      <c r="I45" s="14"/>
    </row>
    <row r="46" spans="1:9" ht="15.75" x14ac:dyDescent="0.25">
      <c r="C46" s="14"/>
      <c r="G46" s="14"/>
      <c r="H46" s="14"/>
      <c r="I46" s="14"/>
    </row>
    <row r="47" spans="1:9" ht="15.75" x14ac:dyDescent="0.25">
      <c r="C47" s="14"/>
      <c r="G47" s="14"/>
      <c r="H47" s="14"/>
      <c r="I47" s="14"/>
    </row>
    <row r="48" spans="1:9" ht="15.75" x14ac:dyDescent="0.25">
      <c r="C48" s="14"/>
      <c r="G48" s="14"/>
      <c r="H48" s="14"/>
      <c r="I48" s="14"/>
    </row>
    <row r="49" spans="3:9" ht="15.75" x14ac:dyDescent="0.25">
      <c r="C49" s="14"/>
      <c r="G49" s="14"/>
      <c r="H49" s="14"/>
      <c r="I49" s="14"/>
    </row>
    <row r="50" spans="3:9" ht="15.75" x14ac:dyDescent="0.25">
      <c r="C50" s="14"/>
      <c r="G50" s="14"/>
      <c r="H50" s="14"/>
      <c r="I50" s="14"/>
    </row>
    <row r="51" spans="3:9" ht="15.75" x14ac:dyDescent="0.25">
      <c r="C51" s="14"/>
      <c r="G51" s="14"/>
      <c r="H51" s="14"/>
      <c r="I51" s="14"/>
    </row>
    <row r="52" spans="3:9" ht="15.75" x14ac:dyDescent="0.25">
      <c r="C52" s="14"/>
      <c r="G52" s="14"/>
      <c r="H52" s="14"/>
      <c r="I52" s="14"/>
    </row>
    <row r="53" spans="3:9" ht="15.75" x14ac:dyDescent="0.25">
      <c r="C53" s="14"/>
      <c r="G53" s="14"/>
      <c r="H53" s="14"/>
      <c r="I53" s="14"/>
    </row>
    <row r="54" spans="3:9" ht="15.75" x14ac:dyDescent="0.25">
      <c r="C54" s="14"/>
      <c r="G54" s="14"/>
      <c r="H54" s="14"/>
      <c r="I54" s="14"/>
    </row>
    <row r="55" spans="3:9" ht="15.75" x14ac:dyDescent="0.25">
      <c r="C55" s="14"/>
      <c r="H55" s="14"/>
      <c r="I55" s="14"/>
    </row>
    <row r="56" spans="3:9" ht="15.75" x14ac:dyDescent="0.25">
      <c r="C56" s="14"/>
      <c r="H56" s="14"/>
      <c r="I56" s="14"/>
    </row>
    <row r="57" spans="3:9" ht="15.75" x14ac:dyDescent="0.25">
      <c r="C57" s="14"/>
      <c r="F57" s="16"/>
      <c r="H57" s="14"/>
      <c r="I57" s="14"/>
    </row>
    <row r="58" spans="3:9" ht="15.75" x14ac:dyDescent="0.25">
      <c r="F58" s="16"/>
      <c r="H58" s="14"/>
      <c r="I58" s="14"/>
    </row>
  </sheetData>
  <phoneticPr fontId="3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50"/>
  <sheetViews>
    <sheetView showGridLines="0" zoomScaleNormal="100" workbookViewId="0"/>
  </sheetViews>
  <sheetFormatPr defaultRowHeight="12.75" x14ac:dyDescent="0.2"/>
  <cols>
    <col min="1" max="1" width="11.7109375" customWidth="1"/>
    <col min="2" max="7" width="13.7109375" customWidth="1"/>
  </cols>
  <sheetData>
    <row r="1" spans="1:8" ht="14.25" x14ac:dyDescent="0.2">
      <c r="A1" s="35" t="s">
        <v>43</v>
      </c>
      <c r="B1" s="35"/>
      <c r="C1" s="35"/>
      <c r="D1" s="35"/>
      <c r="E1" s="35"/>
      <c r="F1" s="35"/>
      <c r="G1" s="35"/>
    </row>
    <row r="2" spans="1:8" ht="15.6" customHeight="1" x14ac:dyDescent="0.2">
      <c r="A2" s="39" t="s">
        <v>15</v>
      </c>
      <c r="B2" s="78" t="s">
        <v>44</v>
      </c>
      <c r="C2" s="115" t="s">
        <v>17</v>
      </c>
      <c r="D2" s="115" t="s">
        <v>88</v>
      </c>
      <c r="E2" s="115" t="s">
        <v>45</v>
      </c>
      <c r="F2" s="78" t="s">
        <v>46</v>
      </c>
      <c r="G2" s="38" t="s">
        <v>47</v>
      </c>
    </row>
    <row r="3" spans="1:8" ht="15.6" customHeight="1" x14ac:dyDescent="0.2">
      <c r="A3" s="35" t="s">
        <v>16</v>
      </c>
      <c r="B3" s="43" t="s">
        <v>148</v>
      </c>
      <c r="C3" s="43" t="s">
        <v>149</v>
      </c>
      <c r="D3" s="43" t="s">
        <v>150</v>
      </c>
      <c r="E3" s="43" t="s">
        <v>151</v>
      </c>
      <c r="F3" s="43" t="s">
        <v>152</v>
      </c>
      <c r="G3" s="43" t="s">
        <v>153</v>
      </c>
    </row>
    <row r="4" spans="1:8" ht="14.25" x14ac:dyDescent="0.2">
      <c r="A4" s="36"/>
      <c r="B4" s="55" t="s">
        <v>107</v>
      </c>
      <c r="C4" s="112"/>
      <c r="D4" s="112"/>
      <c r="E4" s="112"/>
      <c r="F4" s="112"/>
      <c r="G4" s="112"/>
    </row>
    <row r="5" spans="1:8" ht="14.25" x14ac:dyDescent="0.2">
      <c r="A5" s="36"/>
      <c r="B5" s="36"/>
      <c r="C5" s="36"/>
      <c r="D5" s="36"/>
      <c r="E5" s="36"/>
      <c r="F5" s="36"/>
      <c r="G5" s="36"/>
    </row>
    <row r="6" spans="1:8" ht="14.25" x14ac:dyDescent="0.2">
      <c r="A6" s="36" t="s">
        <v>54</v>
      </c>
      <c r="B6" s="101">
        <v>311.27</v>
      </c>
      <c r="C6" s="101">
        <v>220.9</v>
      </c>
      <c r="D6" s="101">
        <v>151.04</v>
      </c>
      <c r="E6" s="116" t="s">
        <v>10</v>
      </c>
      <c r="F6" s="101">
        <v>224.92</v>
      </c>
      <c r="G6" s="101">
        <v>209.23</v>
      </c>
      <c r="H6" s="16"/>
    </row>
    <row r="7" spans="1:8" ht="14.25" x14ac:dyDescent="0.2">
      <c r="A7" s="36" t="s">
        <v>55</v>
      </c>
      <c r="B7" s="101">
        <v>345.52</v>
      </c>
      <c r="C7" s="101">
        <v>273.83999999999997</v>
      </c>
      <c r="D7" s="101">
        <v>219.72</v>
      </c>
      <c r="E7" s="116" t="s">
        <v>10</v>
      </c>
      <c r="F7" s="101">
        <v>263.63</v>
      </c>
      <c r="G7" s="101">
        <v>240.65</v>
      </c>
      <c r="H7" s="16"/>
    </row>
    <row r="8" spans="1:8" ht="14.25" x14ac:dyDescent="0.2">
      <c r="A8" s="36" t="s">
        <v>66</v>
      </c>
      <c r="B8" s="101">
        <v>393.53</v>
      </c>
      <c r="C8" s="101">
        <v>275.13</v>
      </c>
      <c r="D8" s="101">
        <v>246.75</v>
      </c>
      <c r="E8" s="116" t="s">
        <v>10</v>
      </c>
      <c r="F8" s="101">
        <v>307.58999999999997</v>
      </c>
      <c r="G8" s="101">
        <v>265.68</v>
      </c>
      <c r="H8" s="16"/>
    </row>
    <row r="9" spans="1:8" ht="14.25" x14ac:dyDescent="0.2">
      <c r="A9" s="36" t="s">
        <v>90</v>
      </c>
      <c r="B9" s="101">
        <v>468.11</v>
      </c>
      <c r="C9" s="101">
        <v>331.52</v>
      </c>
      <c r="D9" s="101">
        <v>241.57</v>
      </c>
      <c r="E9" s="116" t="s">
        <v>10</v>
      </c>
      <c r="F9" s="101">
        <v>354.22</v>
      </c>
      <c r="G9" s="101">
        <v>329.31</v>
      </c>
      <c r="H9" s="16"/>
    </row>
    <row r="10" spans="1:8" ht="14.25" x14ac:dyDescent="0.2">
      <c r="A10" s="36" t="s">
        <v>97</v>
      </c>
      <c r="B10" s="101">
        <v>489.94</v>
      </c>
      <c r="C10" s="101">
        <v>377.71</v>
      </c>
      <c r="D10" s="101">
        <v>238.87</v>
      </c>
      <c r="E10" s="116" t="s">
        <v>10</v>
      </c>
      <c r="F10" s="101">
        <v>359.7</v>
      </c>
      <c r="G10" s="101">
        <v>337.23</v>
      </c>
      <c r="H10" s="16"/>
    </row>
    <row r="11" spans="1:8" ht="14.25" x14ac:dyDescent="0.2">
      <c r="A11" s="36" t="s">
        <v>100</v>
      </c>
      <c r="B11" s="101">
        <v>368.49</v>
      </c>
      <c r="C11" s="101">
        <v>304.27</v>
      </c>
      <c r="D11" s="101">
        <v>209.97</v>
      </c>
      <c r="E11" s="116" t="s">
        <v>10</v>
      </c>
      <c r="F11" s="101">
        <v>301.2</v>
      </c>
      <c r="G11" s="101">
        <v>256.58</v>
      </c>
      <c r="H11" s="16"/>
    </row>
    <row r="12" spans="1:8" ht="14.25" x14ac:dyDescent="0.2">
      <c r="A12" s="36" t="s">
        <v>101</v>
      </c>
      <c r="B12" s="101">
        <v>324.56</v>
      </c>
      <c r="C12" s="101">
        <v>261.19</v>
      </c>
      <c r="D12" s="101">
        <v>153.16999999999999</v>
      </c>
      <c r="E12" s="116" t="s">
        <v>10</v>
      </c>
      <c r="F12" s="101">
        <v>262.2</v>
      </c>
      <c r="G12" s="101">
        <v>260.23</v>
      </c>
    </row>
    <row r="13" spans="1:8" ht="14.25" x14ac:dyDescent="0.2">
      <c r="A13" s="36" t="s">
        <v>117</v>
      </c>
      <c r="B13" s="101">
        <v>316.88</v>
      </c>
      <c r="C13" s="101">
        <v>208.61</v>
      </c>
      <c r="D13" s="101">
        <v>145.1</v>
      </c>
      <c r="E13" s="116" t="s">
        <v>10</v>
      </c>
      <c r="F13" s="101">
        <v>267.94</v>
      </c>
      <c r="G13" s="101">
        <v>282.49</v>
      </c>
    </row>
    <row r="14" spans="1:8" ht="14.25" x14ac:dyDescent="0.2">
      <c r="A14" s="36" t="s">
        <v>119</v>
      </c>
      <c r="B14" s="101">
        <v>345.02</v>
      </c>
      <c r="C14" s="101">
        <v>260.88</v>
      </c>
      <c r="D14" s="101">
        <v>173.53</v>
      </c>
      <c r="E14" s="116" t="s">
        <v>10</v>
      </c>
      <c r="F14" s="101">
        <v>291.14999999999998</v>
      </c>
      <c r="G14" s="101">
        <v>239.15</v>
      </c>
    </row>
    <row r="15" spans="1:8" ht="16.5" x14ac:dyDescent="0.2">
      <c r="A15" s="36" t="s">
        <v>160</v>
      </c>
      <c r="B15" s="101">
        <v>308.27999999999997</v>
      </c>
      <c r="C15" s="101">
        <v>228.64</v>
      </c>
      <c r="D15" s="123">
        <v>164.16</v>
      </c>
      <c r="E15" s="116" t="s">
        <v>10</v>
      </c>
      <c r="F15" s="101">
        <v>272.38</v>
      </c>
      <c r="G15" s="101">
        <v>225.77</v>
      </c>
    </row>
    <row r="16" spans="1:8" ht="16.5" x14ac:dyDescent="0.2">
      <c r="A16" s="36" t="s">
        <v>165</v>
      </c>
      <c r="B16" s="101">
        <v>310</v>
      </c>
      <c r="C16" s="101">
        <v>225</v>
      </c>
      <c r="D16" s="123">
        <v>170</v>
      </c>
      <c r="E16" s="116" t="s">
        <v>10</v>
      </c>
      <c r="F16" s="101">
        <v>270</v>
      </c>
      <c r="G16" s="101">
        <v>230</v>
      </c>
    </row>
    <row r="17" spans="1:13" ht="14.25" x14ac:dyDescent="0.2">
      <c r="A17" s="117"/>
      <c r="B17" s="101"/>
      <c r="C17" s="101"/>
      <c r="D17" s="101"/>
      <c r="E17" s="116"/>
      <c r="F17" s="101"/>
      <c r="G17" s="101"/>
      <c r="H17" s="13"/>
    </row>
    <row r="18" spans="1:13" ht="14.25" x14ac:dyDescent="0.2">
      <c r="A18" s="36" t="s">
        <v>160</v>
      </c>
      <c r="B18" s="101"/>
      <c r="C18" s="101"/>
      <c r="D18" s="101"/>
      <c r="E18" s="116"/>
      <c r="F18" s="101"/>
      <c r="G18" s="101"/>
      <c r="I18" s="6"/>
      <c r="J18" s="6"/>
      <c r="K18" s="6"/>
      <c r="L18" s="6"/>
      <c r="M18" s="6"/>
    </row>
    <row r="19" spans="1:13" ht="14.25" x14ac:dyDescent="0.2">
      <c r="A19" s="117" t="s">
        <v>57</v>
      </c>
      <c r="B19" s="101">
        <v>319.14999999999998</v>
      </c>
      <c r="C19" s="101">
        <v>249</v>
      </c>
      <c r="D19" s="101">
        <v>164</v>
      </c>
      <c r="E19" s="116" t="s">
        <v>10</v>
      </c>
      <c r="F19" s="101">
        <v>279.39999999999998</v>
      </c>
      <c r="G19" s="101">
        <v>196.5</v>
      </c>
      <c r="I19" s="6"/>
      <c r="J19" s="6"/>
      <c r="K19" s="6"/>
      <c r="L19" s="6"/>
      <c r="M19" s="6"/>
    </row>
    <row r="20" spans="1:13" ht="14.25" x14ac:dyDescent="0.2">
      <c r="A20" s="117" t="s">
        <v>58</v>
      </c>
      <c r="B20" s="101">
        <v>310.61500000000001</v>
      </c>
      <c r="C20" s="101">
        <v>240</v>
      </c>
      <c r="D20" s="101">
        <v>171.25</v>
      </c>
      <c r="E20" s="116" t="s">
        <v>10</v>
      </c>
      <c r="F20" s="101">
        <v>279.16250000000002</v>
      </c>
      <c r="G20" s="101">
        <v>209.38</v>
      </c>
      <c r="I20" s="6"/>
      <c r="J20" s="6"/>
      <c r="K20" s="6"/>
      <c r="L20" s="6"/>
      <c r="M20" s="6"/>
    </row>
    <row r="21" spans="1:13" ht="14.25" x14ac:dyDescent="0.2">
      <c r="A21" s="36" t="s">
        <v>59</v>
      </c>
      <c r="B21" s="101">
        <v>311.7</v>
      </c>
      <c r="C21" s="101">
        <v>243.75</v>
      </c>
      <c r="D21" s="101">
        <v>187.5</v>
      </c>
      <c r="E21" s="116" t="s">
        <v>10</v>
      </c>
      <c r="F21" s="101">
        <v>291.42</v>
      </c>
      <c r="G21" s="101">
        <v>225.83</v>
      </c>
      <c r="I21" s="6"/>
      <c r="J21" s="6"/>
      <c r="K21" s="6"/>
      <c r="L21" s="6"/>
      <c r="M21" s="6"/>
    </row>
    <row r="22" spans="1:13" ht="14.25" x14ac:dyDescent="0.2">
      <c r="A22" s="36" t="s">
        <v>60</v>
      </c>
      <c r="B22" s="101">
        <v>314.92</v>
      </c>
      <c r="C22" s="101">
        <v>247.5</v>
      </c>
      <c r="D22" s="101">
        <v>190.5</v>
      </c>
      <c r="E22" s="116" t="s">
        <v>10</v>
      </c>
      <c r="F22" s="101" t="s">
        <v>10</v>
      </c>
      <c r="G22" s="101">
        <v>219</v>
      </c>
      <c r="I22" s="6"/>
      <c r="J22" s="6"/>
      <c r="K22" s="6"/>
      <c r="L22" s="6"/>
      <c r="M22" s="6"/>
    </row>
    <row r="23" spans="1:13" ht="14.25" x14ac:dyDescent="0.2">
      <c r="A23" s="36" t="s">
        <v>61</v>
      </c>
      <c r="B23" s="101">
        <v>306.83</v>
      </c>
      <c r="C23" s="101">
        <v>235</v>
      </c>
      <c r="D23" s="101">
        <v>187.5</v>
      </c>
      <c r="E23" s="116" t="s">
        <v>10</v>
      </c>
      <c r="F23" s="101" t="s">
        <v>10</v>
      </c>
      <c r="G23" s="101">
        <v>225</v>
      </c>
      <c r="I23" s="6"/>
      <c r="J23" s="6"/>
      <c r="K23" s="6"/>
      <c r="L23" s="6"/>
      <c r="M23" s="6"/>
    </row>
    <row r="24" spans="1:13" ht="14.25" x14ac:dyDescent="0.2">
      <c r="A24" s="36" t="s">
        <v>62</v>
      </c>
      <c r="B24" s="101">
        <v>306.38</v>
      </c>
      <c r="C24" s="101">
        <v>226.25</v>
      </c>
      <c r="D24" s="101">
        <v>189.38</v>
      </c>
      <c r="E24" s="116" t="s">
        <v>10</v>
      </c>
      <c r="F24" s="101" t="s">
        <v>10</v>
      </c>
      <c r="G24" s="101">
        <v>235.63</v>
      </c>
      <c r="I24" s="6"/>
      <c r="J24" s="6"/>
      <c r="K24" s="6"/>
      <c r="L24" s="6"/>
      <c r="M24" s="6"/>
    </row>
    <row r="25" spans="1:13" ht="14.25" x14ac:dyDescent="0.2">
      <c r="A25" s="36" t="s">
        <v>63</v>
      </c>
      <c r="B25" s="101">
        <v>304.26</v>
      </c>
      <c r="C25" s="101">
        <v>216.5</v>
      </c>
      <c r="D25" s="101">
        <v>166.5</v>
      </c>
      <c r="E25" s="116" t="s">
        <v>10</v>
      </c>
      <c r="F25" s="101" t="s">
        <v>10</v>
      </c>
      <c r="G25" s="101">
        <v>241.5</v>
      </c>
      <c r="I25" s="6"/>
      <c r="J25" s="6"/>
      <c r="K25" s="6"/>
      <c r="L25" s="6"/>
      <c r="M25" s="6"/>
    </row>
    <row r="26" spans="1:13" ht="14.25" x14ac:dyDescent="0.2">
      <c r="A26" s="36" t="s">
        <v>64</v>
      </c>
      <c r="B26" s="101">
        <v>297.52</v>
      </c>
      <c r="C26" s="101">
        <v>215</v>
      </c>
      <c r="D26" s="101">
        <v>141.25</v>
      </c>
      <c r="E26" s="116" t="s">
        <v>10</v>
      </c>
      <c r="F26" s="101">
        <v>259.55</v>
      </c>
      <c r="G26" s="101">
        <v>233.75</v>
      </c>
      <c r="I26" s="6"/>
      <c r="J26" s="6"/>
      <c r="K26" s="6"/>
      <c r="L26" s="6"/>
      <c r="M26" s="6"/>
    </row>
    <row r="27" spans="1:13" ht="14.25" x14ac:dyDescent="0.2">
      <c r="A27" s="36" t="s">
        <v>65</v>
      </c>
      <c r="B27" s="101">
        <v>324.75</v>
      </c>
      <c r="C27" s="101">
        <v>215.63</v>
      </c>
      <c r="D27" s="101">
        <v>143.13</v>
      </c>
      <c r="E27" s="116" t="s">
        <v>10</v>
      </c>
      <c r="F27" s="101">
        <v>278.76</v>
      </c>
      <c r="G27" s="101">
        <v>228.88</v>
      </c>
      <c r="I27" s="6"/>
      <c r="J27" s="6"/>
      <c r="K27" s="6"/>
      <c r="L27" s="6"/>
      <c r="M27" s="6"/>
    </row>
    <row r="28" spans="1:13" ht="14.25" x14ac:dyDescent="0.2">
      <c r="A28" s="36" t="s">
        <v>67</v>
      </c>
      <c r="B28" s="101">
        <v>310.77</v>
      </c>
      <c r="C28" s="101">
        <v>218</v>
      </c>
      <c r="D28" s="101">
        <v>142</v>
      </c>
      <c r="E28" s="116" t="s">
        <v>10</v>
      </c>
      <c r="F28" s="101">
        <v>265.45</v>
      </c>
      <c r="G28" s="101">
        <v>232.5</v>
      </c>
      <c r="I28" s="6"/>
      <c r="J28" s="6"/>
      <c r="K28" s="6"/>
      <c r="L28" s="6"/>
      <c r="M28" s="6"/>
    </row>
    <row r="29" spans="1:13" ht="14.25" x14ac:dyDescent="0.2">
      <c r="A29" s="36" t="s">
        <v>68</v>
      </c>
      <c r="B29" s="101">
        <v>296.92</v>
      </c>
      <c r="C29" s="101">
        <v>221.25</v>
      </c>
      <c r="D29" s="101">
        <v>144.38</v>
      </c>
      <c r="E29" s="116" t="s">
        <v>10</v>
      </c>
      <c r="F29" s="101" t="s">
        <v>10</v>
      </c>
      <c r="G29" s="101">
        <v>235</v>
      </c>
      <c r="I29" s="6"/>
      <c r="J29" s="6"/>
      <c r="K29" s="6"/>
      <c r="L29" s="6"/>
      <c r="M29" s="6"/>
    </row>
    <row r="30" spans="1:13" ht="14.25" x14ac:dyDescent="0.2">
      <c r="A30" s="36" t="s">
        <v>70</v>
      </c>
      <c r="B30" s="101">
        <v>295.57</v>
      </c>
      <c r="C30" s="101">
        <v>215.83</v>
      </c>
      <c r="D30" s="101">
        <v>142.5</v>
      </c>
      <c r="E30" s="116" t="s">
        <v>10</v>
      </c>
      <c r="F30" s="101">
        <v>253.03</v>
      </c>
      <c r="G30" s="101">
        <v>226.25</v>
      </c>
      <c r="I30" s="6"/>
      <c r="J30" s="6"/>
      <c r="K30" s="6"/>
      <c r="L30" s="6"/>
      <c r="M30" s="6"/>
    </row>
    <row r="31" spans="1:13" ht="14.25" x14ac:dyDescent="0.2">
      <c r="A31" s="117"/>
      <c r="B31" s="101"/>
      <c r="C31" s="101"/>
      <c r="D31" s="101"/>
      <c r="E31" s="116"/>
      <c r="F31" s="101"/>
      <c r="G31" s="101"/>
      <c r="I31" s="6"/>
      <c r="J31" s="6"/>
      <c r="K31" s="6"/>
      <c r="L31" s="6"/>
      <c r="M31" s="6"/>
    </row>
    <row r="32" spans="1:13" ht="14.25" x14ac:dyDescent="0.2">
      <c r="A32" s="36" t="s">
        <v>167</v>
      </c>
      <c r="B32" s="101"/>
      <c r="C32" s="101"/>
      <c r="D32" s="101"/>
      <c r="E32" s="116"/>
      <c r="F32" s="101"/>
      <c r="G32" s="101"/>
      <c r="I32" s="6"/>
      <c r="J32" s="6"/>
      <c r="K32" s="6"/>
      <c r="L32" s="6"/>
      <c r="M32" s="6"/>
    </row>
    <row r="33" spans="1:13" ht="14.25" x14ac:dyDescent="0.2">
      <c r="A33" s="36" t="s">
        <v>57</v>
      </c>
      <c r="B33" s="101">
        <v>309.48</v>
      </c>
      <c r="C33" s="101">
        <v>213.13</v>
      </c>
      <c r="D33" s="101">
        <v>169</v>
      </c>
      <c r="E33" s="116" t="s">
        <v>10</v>
      </c>
      <c r="F33" s="101">
        <v>267.89999999999998</v>
      </c>
      <c r="G33" s="101">
        <v>226.5</v>
      </c>
      <c r="I33" s="6"/>
      <c r="J33" s="6"/>
      <c r="K33" s="6"/>
      <c r="L33" s="6"/>
      <c r="M33" s="6"/>
    </row>
    <row r="34" spans="1:13" ht="14.25" x14ac:dyDescent="0.2">
      <c r="A34" s="118" t="s">
        <v>58</v>
      </c>
      <c r="B34" s="107">
        <v>303.13</v>
      </c>
      <c r="C34" s="107">
        <v>233.75</v>
      </c>
      <c r="D34" s="107">
        <v>166.88</v>
      </c>
      <c r="E34" s="119" t="s">
        <v>10</v>
      </c>
      <c r="F34" s="107" t="s">
        <v>10</v>
      </c>
      <c r="G34" s="107">
        <v>226.88</v>
      </c>
      <c r="I34" s="6"/>
      <c r="J34" s="6"/>
      <c r="K34" s="6"/>
      <c r="L34" s="6"/>
      <c r="M34" s="6"/>
    </row>
    <row r="35" spans="1:13" ht="16.5" x14ac:dyDescent="0.2">
      <c r="A35" s="77" t="s">
        <v>158</v>
      </c>
      <c r="B35" s="120"/>
      <c r="C35" s="120"/>
      <c r="D35" s="120"/>
      <c r="E35" s="120"/>
      <c r="F35" s="120"/>
      <c r="G35" s="120"/>
      <c r="I35" s="11"/>
      <c r="J35" s="6"/>
      <c r="K35" s="6"/>
      <c r="L35" s="6"/>
      <c r="M35" s="6"/>
    </row>
    <row r="36" spans="1:13" ht="16.5" x14ac:dyDescent="0.2">
      <c r="A36" s="77" t="s">
        <v>154</v>
      </c>
      <c r="B36" s="121"/>
      <c r="C36" s="121"/>
      <c r="D36" s="121"/>
      <c r="E36" s="121"/>
      <c r="F36" s="121"/>
      <c r="G36" s="121"/>
      <c r="I36" s="11"/>
      <c r="J36" s="6"/>
      <c r="K36" s="6"/>
      <c r="L36" s="6"/>
      <c r="M36" s="6"/>
    </row>
    <row r="37" spans="1:13" ht="14.25" x14ac:dyDescent="0.2">
      <c r="A37" s="36" t="s">
        <v>89</v>
      </c>
      <c r="B37" s="121"/>
      <c r="C37" s="121"/>
      <c r="D37" s="121"/>
      <c r="E37" s="121"/>
      <c r="F37" s="121"/>
      <c r="G37" s="121"/>
      <c r="H37" s="1"/>
      <c r="I37" s="11"/>
      <c r="J37" s="6"/>
      <c r="K37" s="6"/>
      <c r="L37" s="6"/>
      <c r="M37" s="6"/>
    </row>
    <row r="38" spans="1:13" ht="14.25" x14ac:dyDescent="0.2">
      <c r="A38" s="36" t="s">
        <v>155</v>
      </c>
      <c r="B38" s="36"/>
      <c r="C38" s="36"/>
      <c r="D38" s="36"/>
      <c r="E38" s="36"/>
      <c r="F38" s="36"/>
      <c r="G38" s="36"/>
      <c r="I38" s="11"/>
      <c r="J38" s="6"/>
      <c r="K38" s="6"/>
      <c r="L38" s="6"/>
      <c r="M38" s="6"/>
    </row>
    <row r="39" spans="1:13" ht="14.25" x14ac:dyDescent="0.2">
      <c r="A39" s="40" t="s">
        <v>26</v>
      </c>
      <c r="B39" s="69">
        <f ca="1">NOW()</f>
        <v>43811.378525810185</v>
      </c>
      <c r="C39" s="36"/>
      <c r="D39" s="36"/>
      <c r="E39" s="36"/>
      <c r="F39" s="36"/>
      <c r="G39" s="36"/>
      <c r="I39" s="12"/>
      <c r="J39" s="8"/>
      <c r="K39" s="8"/>
      <c r="L39" s="8"/>
      <c r="M39" s="8"/>
    </row>
    <row r="40" spans="1:13" ht="15.75" x14ac:dyDescent="0.25">
      <c r="F40" s="14"/>
      <c r="I40" s="12"/>
      <c r="J40" s="8"/>
      <c r="K40" s="8"/>
      <c r="L40" s="8"/>
      <c r="M40" s="8"/>
    </row>
    <row r="41" spans="1:13" x14ac:dyDescent="0.2">
      <c r="I41" s="11"/>
      <c r="J41" s="11"/>
      <c r="K41" s="6"/>
      <c r="L41" s="6"/>
      <c r="M41" s="6"/>
    </row>
    <row r="42" spans="1:13" x14ac:dyDescent="0.2">
      <c r="I42" s="11"/>
      <c r="J42" s="11"/>
      <c r="K42" s="6"/>
      <c r="L42" s="6"/>
      <c r="M42" s="6"/>
    </row>
    <row r="43" spans="1:13" x14ac:dyDescent="0.2">
      <c r="I43" s="11"/>
      <c r="J43" s="11"/>
      <c r="K43" s="6"/>
      <c r="L43" s="6"/>
      <c r="M43" s="6"/>
    </row>
    <row r="44" spans="1:13" x14ac:dyDescent="0.2">
      <c r="I44" s="11"/>
      <c r="J44" s="11"/>
      <c r="K44" s="6"/>
      <c r="L44" s="6"/>
      <c r="M44" s="6"/>
    </row>
    <row r="45" spans="1:13" x14ac:dyDescent="0.2">
      <c r="I45" s="11"/>
      <c r="J45" s="11"/>
      <c r="K45" s="6"/>
      <c r="L45" s="6"/>
      <c r="M45" s="6"/>
    </row>
    <row r="46" spans="1:13" x14ac:dyDescent="0.2">
      <c r="I46" s="11"/>
      <c r="J46" s="11"/>
      <c r="K46" s="6"/>
      <c r="L46" s="6"/>
      <c r="M46" s="6"/>
    </row>
    <row r="48" spans="1:13" x14ac:dyDescent="0.2">
      <c r="I48" s="9"/>
      <c r="J48" s="9"/>
      <c r="K48" s="9"/>
      <c r="L48" s="9"/>
      <c r="M48" s="9"/>
    </row>
    <row r="49" spans="9:13" x14ac:dyDescent="0.2">
      <c r="I49" s="9"/>
      <c r="J49" s="9"/>
      <c r="K49" s="9"/>
      <c r="L49" s="9"/>
      <c r="M49" s="9"/>
    </row>
    <row r="50" spans="9:13" x14ac:dyDescent="0.2">
      <c r="J50" s="9"/>
    </row>
  </sheetData>
  <phoneticPr fontId="3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347"/>
  <sheetViews>
    <sheetView zoomScale="110" zoomScaleNormal="110" workbookViewId="0">
      <selection activeCell="A3" sqref="A3"/>
    </sheetView>
  </sheetViews>
  <sheetFormatPr defaultRowHeight="12.75" x14ac:dyDescent="0.2"/>
  <cols>
    <col min="1" max="1" width="10.5703125" customWidth="1"/>
    <col min="2" max="2" width="9.7109375" customWidth="1"/>
    <col min="3" max="3" width="8.7109375" customWidth="1"/>
    <col min="4" max="7" width="10.5703125" customWidth="1"/>
  </cols>
  <sheetData>
    <row r="1" spans="1:3" x14ac:dyDescent="0.2">
      <c r="A1" s="140" t="s">
        <v>176</v>
      </c>
      <c r="B1" s="140"/>
      <c r="C1" s="140"/>
    </row>
    <row r="2" spans="1:3" ht="14.25" x14ac:dyDescent="0.2">
      <c r="A2" s="140" t="s">
        <v>177</v>
      </c>
      <c r="B2" s="36" t="s">
        <v>178</v>
      </c>
      <c r="C2" s="36" t="s">
        <v>179</v>
      </c>
    </row>
    <row r="3" spans="1:3" x14ac:dyDescent="0.2">
      <c r="A3" s="125"/>
      <c r="B3" s="167"/>
      <c r="C3" s="145"/>
    </row>
    <row r="4" spans="1:3" x14ac:dyDescent="0.2">
      <c r="A4" s="168">
        <v>43347</v>
      </c>
      <c r="B4" s="169">
        <v>7.9649999999999999</v>
      </c>
      <c r="C4" s="169">
        <v>318.2</v>
      </c>
    </row>
    <row r="5" spans="1:3" x14ac:dyDescent="0.2">
      <c r="A5" s="168">
        <v>43348</v>
      </c>
      <c r="B5" s="169">
        <v>7.9049999999999994</v>
      </c>
      <c r="C5" s="169">
        <v>316.8</v>
      </c>
    </row>
    <row r="6" spans="1:3" x14ac:dyDescent="0.2">
      <c r="A6" s="168">
        <v>43349</v>
      </c>
      <c r="B6" s="169">
        <v>7.9149999999999991</v>
      </c>
      <c r="C6" s="169">
        <v>321.39999999999998</v>
      </c>
    </row>
    <row r="7" spans="1:3" x14ac:dyDescent="0.2">
      <c r="A7" s="168">
        <v>43350</v>
      </c>
      <c r="B7" s="169">
        <v>7.9399999999999995</v>
      </c>
      <c r="C7" s="169">
        <v>324.2</v>
      </c>
    </row>
    <row r="8" spans="1:3" x14ac:dyDescent="0.2">
      <c r="A8" s="168">
        <v>43353</v>
      </c>
      <c r="B8" s="169">
        <v>7.915</v>
      </c>
      <c r="C8" s="169">
        <v>325.8</v>
      </c>
    </row>
    <row r="9" spans="1:3" x14ac:dyDescent="0.2">
      <c r="A9" s="168">
        <v>43354</v>
      </c>
      <c r="B9" s="169">
        <v>7.7949999999999999</v>
      </c>
      <c r="C9" s="169">
        <v>323.7</v>
      </c>
    </row>
    <row r="10" spans="1:3" x14ac:dyDescent="0.2">
      <c r="A10" s="168">
        <v>43355</v>
      </c>
      <c r="B10" s="169">
        <v>7.8149999999999995</v>
      </c>
      <c r="C10" s="169">
        <v>324.8</v>
      </c>
    </row>
    <row r="11" spans="1:3" x14ac:dyDescent="0.2">
      <c r="A11" s="168">
        <v>43356</v>
      </c>
      <c r="B11" s="169">
        <v>7.73</v>
      </c>
      <c r="C11" s="169">
        <v>321.39999999999998</v>
      </c>
    </row>
    <row r="12" spans="1:3" x14ac:dyDescent="0.2">
      <c r="A12" s="168">
        <v>43357</v>
      </c>
      <c r="B12" s="169">
        <v>7.78</v>
      </c>
      <c r="C12" s="169">
        <v>314.8</v>
      </c>
    </row>
    <row r="13" spans="1:3" x14ac:dyDescent="0.2">
      <c r="A13" s="168">
        <v>43360</v>
      </c>
      <c r="B13" s="169">
        <v>7.6899999999999995</v>
      </c>
      <c r="C13" s="169">
        <v>311.89999999999998</v>
      </c>
    </row>
    <row r="14" spans="1:3" x14ac:dyDescent="0.2">
      <c r="A14" s="168">
        <v>43361</v>
      </c>
      <c r="B14" s="169">
        <v>7.5649999999999995</v>
      </c>
      <c r="C14" s="169">
        <v>310</v>
      </c>
    </row>
    <row r="15" spans="1:3" x14ac:dyDescent="0.2">
      <c r="A15" s="168">
        <v>43362</v>
      </c>
      <c r="B15" s="169">
        <v>7.7249999999999996</v>
      </c>
      <c r="C15" s="169">
        <v>315.89999999999998</v>
      </c>
    </row>
    <row r="16" spans="1:3" x14ac:dyDescent="0.2">
      <c r="A16" s="168">
        <v>43363</v>
      </c>
      <c r="B16" s="170">
        <v>7.9249999999999998</v>
      </c>
      <c r="C16" s="122">
        <v>321.89999999999998</v>
      </c>
    </row>
    <row r="17" spans="1:3" x14ac:dyDescent="0.2">
      <c r="A17" s="168">
        <v>43364</v>
      </c>
      <c r="B17" s="170">
        <v>7.93</v>
      </c>
      <c r="C17" s="170">
        <v>316.39999999999998</v>
      </c>
    </row>
    <row r="18" spans="1:3" x14ac:dyDescent="0.2">
      <c r="A18" s="168">
        <v>43367</v>
      </c>
      <c r="B18" s="170">
        <v>7.87</v>
      </c>
      <c r="C18" s="170">
        <v>314</v>
      </c>
    </row>
    <row r="19" spans="1:3" x14ac:dyDescent="0.2">
      <c r="A19" s="168">
        <v>43368</v>
      </c>
      <c r="B19" s="170">
        <v>7.8949999999999996</v>
      </c>
      <c r="C19" s="170">
        <v>315.7</v>
      </c>
    </row>
    <row r="20" spans="1:3" x14ac:dyDescent="0.2">
      <c r="A20" s="168">
        <v>43369</v>
      </c>
      <c r="B20" s="170">
        <v>7.96</v>
      </c>
      <c r="C20" s="170">
        <v>317.39999999999998</v>
      </c>
    </row>
    <row r="21" spans="1:3" x14ac:dyDescent="0.2">
      <c r="A21" s="168">
        <v>43370</v>
      </c>
      <c r="B21" s="170">
        <v>8.01</v>
      </c>
      <c r="C21" s="170">
        <v>318.3</v>
      </c>
    </row>
    <row r="22" spans="1:3" x14ac:dyDescent="0.2">
      <c r="A22" s="168">
        <v>43371</v>
      </c>
      <c r="B22" s="170">
        <v>7.8900000000000006</v>
      </c>
      <c r="C22" s="170">
        <v>315.5</v>
      </c>
    </row>
    <row r="23" spans="1:3" x14ac:dyDescent="0.2">
      <c r="A23" s="168">
        <v>43374</v>
      </c>
      <c r="B23" s="170">
        <v>8.0399999999999991</v>
      </c>
      <c r="C23" s="170">
        <v>320.3</v>
      </c>
    </row>
    <row r="24" spans="1:3" x14ac:dyDescent="0.2">
      <c r="A24" s="168">
        <v>43375</v>
      </c>
      <c r="B24" s="170">
        <v>8.120000000000001</v>
      </c>
      <c r="C24" s="170">
        <v>321.10000000000002</v>
      </c>
    </row>
    <row r="25" spans="1:3" x14ac:dyDescent="0.2">
      <c r="A25" s="168">
        <v>43376</v>
      </c>
      <c r="B25" s="170">
        <v>8.09</v>
      </c>
      <c r="C25" s="170">
        <v>317.2</v>
      </c>
    </row>
    <row r="26" spans="1:3" x14ac:dyDescent="0.2">
      <c r="A26" s="168">
        <v>43377</v>
      </c>
      <c r="B26" s="170">
        <v>8.0749999999999993</v>
      </c>
      <c r="C26" s="170">
        <v>318.2</v>
      </c>
    </row>
    <row r="27" spans="1:3" x14ac:dyDescent="0.2">
      <c r="A27" s="168">
        <v>43378</v>
      </c>
      <c r="B27" s="170">
        <v>8.1900000000000013</v>
      </c>
      <c r="C27" s="170">
        <v>325.60000000000002</v>
      </c>
    </row>
    <row r="28" spans="1:3" x14ac:dyDescent="0.2">
      <c r="A28" s="168">
        <v>43381</v>
      </c>
      <c r="B28" s="170">
        <v>8.1999999999999993</v>
      </c>
      <c r="C28" s="170">
        <v>324.5</v>
      </c>
    </row>
    <row r="29" spans="1:3" x14ac:dyDescent="0.2">
      <c r="A29" s="168">
        <v>43382</v>
      </c>
      <c r="B29" s="170">
        <v>8.18</v>
      </c>
      <c r="C29" s="170">
        <v>323.8</v>
      </c>
    </row>
    <row r="30" spans="1:3" x14ac:dyDescent="0.2">
      <c r="A30" s="168">
        <v>43383</v>
      </c>
      <c r="B30" s="170">
        <v>8.07</v>
      </c>
      <c r="C30" s="170">
        <v>321.7</v>
      </c>
    </row>
    <row r="31" spans="1:3" x14ac:dyDescent="0.2">
      <c r="A31" s="168">
        <v>43384</v>
      </c>
      <c r="B31" s="122">
        <v>8.120000000000001</v>
      </c>
      <c r="C31" s="122">
        <v>322.8</v>
      </c>
    </row>
    <row r="32" spans="1:3" x14ac:dyDescent="0.2">
      <c r="A32" s="168">
        <v>43385</v>
      </c>
      <c r="B32" s="122">
        <v>8.2199999999999989</v>
      </c>
      <c r="C32" s="122">
        <v>322.89999999999998</v>
      </c>
    </row>
    <row r="33" spans="1:3" x14ac:dyDescent="0.2">
      <c r="A33" s="168">
        <v>43388</v>
      </c>
      <c r="B33" s="122">
        <v>8.4699999999999989</v>
      </c>
      <c r="C33" s="122">
        <v>332.5</v>
      </c>
    </row>
    <row r="34" spans="1:3" x14ac:dyDescent="0.2">
      <c r="A34" s="168">
        <v>43389</v>
      </c>
      <c r="B34" s="122">
        <v>8.4149999999999991</v>
      </c>
      <c r="C34" s="122">
        <v>327.8</v>
      </c>
    </row>
    <row r="35" spans="1:3" x14ac:dyDescent="0.2">
      <c r="A35" s="168">
        <v>43390</v>
      </c>
      <c r="B35" s="122">
        <v>8.4499999999999993</v>
      </c>
      <c r="C35" s="122">
        <v>329.2</v>
      </c>
    </row>
    <row r="36" spans="1:3" x14ac:dyDescent="0.2">
      <c r="A36" s="168">
        <v>43391</v>
      </c>
      <c r="B36" s="122">
        <v>8.2100000000000009</v>
      </c>
      <c r="C36" s="122">
        <v>321.8</v>
      </c>
    </row>
    <row r="37" spans="1:3" x14ac:dyDescent="0.2">
      <c r="A37" s="168">
        <v>43392</v>
      </c>
      <c r="B37" s="122">
        <v>8.120000000000001</v>
      </c>
      <c r="C37" s="122">
        <v>318.60000000000002</v>
      </c>
    </row>
    <row r="38" spans="1:3" x14ac:dyDescent="0.2">
      <c r="A38" s="168">
        <v>43395</v>
      </c>
      <c r="B38" s="155">
        <v>8.14</v>
      </c>
      <c r="C38" s="16">
        <v>318.3</v>
      </c>
    </row>
    <row r="39" spans="1:3" x14ac:dyDescent="0.2">
      <c r="A39" s="168">
        <v>43396</v>
      </c>
      <c r="B39" s="155">
        <v>8.129999999999999</v>
      </c>
      <c r="C39" s="16">
        <v>316.2</v>
      </c>
    </row>
    <row r="40" spans="1:3" x14ac:dyDescent="0.2">
      <c r="A40" s="168">
        <v>43397</v>
      </c>
      <c r="B40" s="155">
        <v>8.0500000000000007</v>
      </c>
      <c r="C40" s="16">
        <v>311.60000000000002</v>
      </c>
    </row>
    <row r="41" spans="1:3" x14ac:dyDescent="0.2">
      <c r="A41" s="168">
        <v>43398</v>
      </c>
      <c r="B41" s="155">
        <v>7.9550000000000001</v>
      </c>
      <c r="C41" s="16">
        <v>307.3</v>
      </c>
    </row>
    <row r="42" spans="1:3" x14ac:dyDescent="0.2">
      <c r="A42" s="168">
        <v>43399</v>
      </c>
      <c r="B42" s="155">
        <v>7.9850000000000003</v>
      </c>
      <c r="C42" s="16">
        <v>310.3</v>
      </c>
    </row>
    <row r="43" spans="1:3" x14ac:dyDescent="0.2">
      <c r="A43" s="168">
        <v>43402</v>
      </c>
      <c r="B43" s="155">
        <v>7.9249999999999998</v>
      </c>
      <c r="C43" s="16">
        <v>311.2</v>
      </c>
    </row>
    <row r="44" spans="1:3" x14ac:dyDescent="0.2">
      <c r="A44" s="168">
        <v>43403</v>
      </c>
      <c r="B44" s="155">
        <v>7.9</v>
      </c>
      <c r="C44" s="16">
        <v>308.10000000000002</v>
      </c>
    </row>
    <row r="45" spans="1:3" x14ac:dyDescent="0.2">
      <c r="A45" s="168">
        <v>43404</v>
      </c>
      <c r="B45" s="155">
        <v>7.9450000000000003</v>
      </c>
      <c r="C45" s="155">
        <v>309.39999999999998</v>
      </c>
    </row>
    <row r="46" spans="1:3" x14ac:dyDescent="0.2">
      <c r="A46" s="168">
        <v>43405</v>
      </c>
      <c r="B46" s="155">
        <v>8.2800000000000011</v>
      </c>
      <c r="C46" s="155">
        <v>316.39999999999998</v>
      </c>
    </row>
    <row r="47" spans="1:3" x14ac:dyDescent="0.2">
      <c r="A47" s="168">
        <v>43406</v>
      </c>
      <c r="B47" s="155">
        <v>8.4049999999999994</v>
      </c>
      <c r="C47" s="155">
        <v>314</v>
      </c>
    </row>
    <row r="48" spans="1:3" x14ac:dyDescent="0.2">
      <c r="A48" s="168">
        <v>43409</v>
      </c>
      <c r="B48" s="155">
        <v>8.4350000000000005</v>
      </c>
      <c r="C48" s="155">
        <v>313.60000000000002</v>
      </c>
    </row>
    <row r="49" spans="1:3" x14ac:dyDescent="0.2">
      <c r="A49" s="168">
        <v>43410</v>
      </c>
      <c r="B49" s="155">
        <v>8.4649999999999999</v>
      </c>
      <c r="C49" s="155">
        <v>314.39999999999998</v>
      </c>
    </row>
    <row r="50" spans="1:3" x14ac:dyDescent="0.2">
      <c r="A50" s="168">
        <v>43411</v>
      </c>
      <c r="B50" s="16">
        <v>8.42</v>
      </c>
      <c r="C50" s="16">
        <v>311</v>
      </c>
    </row>
    <row r="51" spans="1:3" x14ac:dyDescent="0.2">
      <c r="A51" s="168">
        <v>43412</v>
      </c>
      <c r="B51" s="16">
        <v>8.4149999999999991</v>
      </c>
      <c r="C51" s="16">
        <v>309.10000000000002</v>
      </c>
    </row>
    <row r="52" spans="1:3" x14ac:dyDescent="0.2">
      <c r="A52" s="168">
        <v>43413</v>
      </c>
      <c r="B52" s="16">
        <v>8.51</v>
      </c>
      <c r="C52" s="16">
        <v>308.60000000000002</v>
      </c>
    </row>
    <row r="53" spans="1:3" x14ac:dyDescent="0.2">
      <c r="A53" s="168">
        <v>43416</v>
      </c>
      <c r="B53" s="16">
        <v>8.48</v>
      </c>
      <c r="C53" s="16">
        <v>308.60000000000002</v>
      </c>
    </row>
    <row r="54" spans="1:3" x14ac:dyDescent="0.2">
      <c r="A54" s="168">
        <v>43417</v>
      </c>
      <c r="B54" s="16">
        <v>8.4050000000000011</v>
      </c>
      <c r="C54" s="16">
        <v>306.89999999999998</v>
      </c>
    </row>
    <row r="55" spans="1:3" x14ac:dyDescent="0.2">
      <c r="A55" s="168">
        <v>43418</v>
      </c>
      <c r="B55" s="16">
        <v>8.4600000000000009</v>
      </c>
      <c r="C55" s="16">
        <v>308.7</v>
      </c>
    </row>
    <row r="56" spans="1:3" x14ac:dyDescent="0.2">
      <c r="A56" s="168">
        <v>43419</v>
      </c>
      <c r="B56" s="16">
        <v>8.5150000000000006</v>
      </c>
      <c r="C56" s="16">
        <v>308.39999999999998</v>
      </c>
    </row>
    <row r="57" spans="1:3" x14ac:dyDescent="0.2">
      <c r="A57" s="168">
        <v>43420</v>
      </c>
      <c r="B57" s="16">
        <v>8.5449999999999999</v>
      </c>
      <c r="C57" s="16">
        <v>313.89999999999998</v>
      </c>
    </row>
    <row r="58" spans="1:3" x14ac:dyDescent="0.2">
      <c r="A58" s="168">
        <v>43423</v>
      </c>
      <c r="B58" s="16">
        <v>8.3649999999999984</v>
      </c>
      <c r="C58" s="16">
        <v>308</v>
      </c>
    </row>
    <row r="59" spans="1:3" x14ac:dyDescent="0.2">
      <c r="A59" s="168">
        <v>43424</v>
      </c>
      <c r="B59" s="16">
        <v>8.4349999999999987</v>
      </c>
      <c r="C59" s="16">
        <v>309.60000000000002</v>
      </c>
    </row>
    <row r="60" spans="1:3" x14ac:dyDescent="0.2">
      <c r="A60" s="168">
        <v>43425</v>
      </c>
      <c r="B60" s="16">
        <v>8.4550000000000001</v>
      </c>
      <c r="C60" s="16">
        <v>309.10000000000002</v>
      </c>
    </row>
    <row r="61" spans="1:3" x14ac:dyDescent="0.2">
      <c r="A61" s="168">
        <v>43430</v>
      </c>
      <c r="B61" s="16">
        <v>8.3049999999999997</v>
      </c>
      <c r="C61" s="16">
        <v>306.5</v>
      </c>
    </row>
    <row r="62" spans="1:3" x14ac:dyDescent="0.2">
      <c r="A62" s="168">
        <v>43431</v>
      </c>
      <c r="B62" s="16">
        <v>8.44</v>
      </c>
      <c r="C62" s="16">
        <v>309.39999999999998</v>
      </c>
    </row>
    <row r="63" spans="1:3" x14ac:dyDescent="0.2">
      <c r="A63" s="168">
        <v>43432</v>
      </c>
      <c r="B63" s="16">
        <v>8.629999999999999</v>
      </c>
      <c r="C63" s="16">
        <v>312.39999999999998</v>
      </c>
    </row>
    <row r="64" spans="1:3" x14ac:dyDescent="0.2">
      <c r="A64" s="168">
        <v>43433</v>
      </c>
      <c r="B64" s="16">
        <v>8.6050000000000004</v>
      </c>
      <c r="C64" s="16">
        <v>311.39999999999998</v>
      </c>
    </row>
    <row r="65" spans="1:3" x14ac:dyDescent="0.2">
      <c r="A65" s="168">
        <v>43434</v>
      </c>
      <c r="B65" s="16">
        <v>8.6850000000000005</v>
      </c>
      <c r="C65" s="16">
        <v>312.3</v>
      </c>
    </row>
    <row r="66" spans="1:3" x14ac:dyDescent="0.2">
      <c r="A66" s="168">
        <v>43437</v>
      </c>
      <c r="B66" s="16">
        <v>8.76</v>
      </c>
      <c r="C66" s="16">
        <v>316.39999999999998</v>
      </c>
    </row>
    <row r="67" spans="1:3" x14ac:dyDescent="0.2">
      <c r="A67" s="168">
        <v>43438</v>
      </c>
      <c r="B67" s="16">
        <v>8.8550000000000004</v>
      </c>
      <c r="C67" s="16">
        <v>316.7</v>
      </c>
    </row>
    <row r="68" spans="1:3" x14ac:dyDescent="0.2">
      <c r="A68" s="168">
        <v>43439</v>
      </c>
      <c r="B68" s="16">
        <v>8.8500000000000014</v>
      </c>
      <c r="C68" s="16">
        <v>315.89999999999998</v>
      </c>
    </row>
    <row r="69" spans="1:3" x14ac:dyDescent="0.2">
      <c r="A69" s="168">
        <v>43440</v>
      </c>
      <c r="B69" s="16">
        <v>8.8099999999999987</v>
      </c>
      <c r="C69" s="16">
        <v>314.2</v>
      </c>
    </row>
    <row r="70" spans="1:3" x14ac:dyDescent="0.2">
      <c r="A70" s="168">
        <v>43441</v>
      </c>
      <c r="B70" s="16">
        <v>8.8650000000000002</v>
      </c>
      <c r="C70" s="16">
        <v>313.2</v>
      </c>
    </row>
    <row r="71" spans="1:3" x14ac:dyDescent="0.2">
      <c r="A71" s="168">
        <v>43444</v>
      </c>
      <c r="B71" s="16">
        <v>8.8049999999999997</v>
      </c>
      <c r="C71" s="16">
        <v>312</v>
      </c>
    </row>
    <row r="72" spans="1:3" x14ac:dyDescent="0.2">
      <c r="A72" s="168">
        <v>43445</v>
      </c>
      <c r="B72" s="16">
        <v>8.8449999999999989</v>
      </c>
      <c r="C72" s="16">
        <v>312.89999999999998</v>
      </c>
    </row>
    <row r="73" spans="1:3" x14ac:dyDescent="0.2">
      <c r="A73" s="168">
        <v>43446</v>
      </c>
      <c r="B73" s="16">
        <v>8.8850000000000016</v>
      </c>
      <c r="C73" s="16">
        <v>314.60000000000002</v>
      </c>
    </row>
    <row r="74" spans="1:3" x14ac:dyDescent="0.2">
      <c r="A74" s="168">
        <v>43447</v>
      </c>
      <c r="B74" s="16">
        <v>8.745000000000001</v>
      </c>
      <c r="C74" s="16">
        <v>310.5</v>
      </c>
    </row>
    <row r="75" spans="1:3" x14ac:dyDescent="0.2">
      <c r="A75" s="168">
        <v>43448</v>
      </c>
      <c r="B75" s="16">
        <v>8.69</v>
      </c>
      <c r="C75" s="16">
        <v>309.3</v>
      </c>
    </row>
    <row r="76" spans="1:3" x14ac:dyDescent="0.2">
      <c r="A76" s="168">
        <v>43451</v>
      </c>
      <c r="B76" s="16">
        <v>8.75</v>
      </c>
      <c r="C76" s="16">
        <v>311.10000000000002</v>
      </c>
    </row>
    <row r="77" spans="1:3" x14ac:dyDescent="0.2">
      <c r="A77" s="168">
        <v>43452</v>
      </c>
      <c r="B77" s="16">
        <v>8.879999999999999</v>
      </c>
      <c r="C77" s="16">
        <v>312.39999999999998</v>
      </c>
    </row>
    <row r="78" spans="1:3" x14ac:dyDescent="0.2">
      <c r="A78" s="168">
        <v>43453</v>
      </c>
      <c r="B78" s="16">
        <v>8.7899999999999991</v>
      </c>
      <c r="C78" s="16">
        <v>309.8</v>
      </c>
    </row>
    <row r="79" spans="1:3" x14ac:dyDescent="0.2">
      <c r="A79" s="168">
        <v>43454</v>
      </c>
      <c r="B79" s="16">
        <v>8.74</v>
      </c>
      <c r="C79" s="16">
        <v>309.7</v>
      </c>
    </row>
    <row r="80" spans="1:3" x14ac:dyDescent="0.2">
      <c r="A80" s="168">
        <v>43455</v>
      </c>
      <c r="B80" s="16">
        <v>8.65</v>
      </c>
      <c r="C80" s="16">
        <v>307.60000000000002</v>
      </c>
    </row>
    <row r="81" spans="1:3" x14ac:dyDescent="0.2">
      <c r="A81" s="168">
        <v>43458</v>
      </c>
      <c r="B81" s="16">
        <v>8.629999999999999</v>
      </c>
      <c r="C81" s="16">
        <v>309.5</v>
      </c>
    </row>
    <row r="82" spans="1:3" x14ac:dyDescent="0.2">
      <c r="A82" s="168">
        <v>43460</v>
      </c>
      <c r="B82" s="16">
        <v>8.49</v>
      </c>
      <c r="C82" s="16">
        <v>305.39999999999998</v>
      </c>
    </row>
    <row r="83" spans="1:3" x14ac:dyDescent="0.2">
      <c r="A83" s="168">
        <v>43461</v>
      </c>
      <c r="B83" s="16">
        <v>8.48</v>
      </c>
      <c r="C83" s="16">
        <v>308.8</v>
      </c>
    </row>
    <row r="84" spans="1:3" x14ac:dyDescent="0.2">
      <c r="A84" s="168">
        <v>43462</v>
      </c>
      <c r="B84" s="16">
        <v>8.620000000000001</v>
      </c>
      <c r="C84" s="16">
        <v>313.5</v>
      </c>
    </row>
    <row r="85" spans="1:3" x14ac:dyDescent="0.2">
      <c r="A85" s="168">
        <v>43465</v>
      </c>
      <c r="B85" s="16">
        <v>8.620000000000001</v>
      </c>
      <c r="C85" s="16">
        <v>310.39999999999998</v>
      </c>
    </row>
    <row r="86" spans="1:3" x14ac:dyDescent="0.2">
      <c r="A86" s="168">
        <v>43467</v>
      </c>
      <c r="B86" s="16">
        <v>8.754999999999999</v>
      </c>
      <c r="C86" s="16">
        <v>315.39999999999998</v>
      </c>
    </row>
    <row r="87" spans="1:3" x14ac:dyDescent="0.2">
      <c r="A87" s="168">
        <v>43468</v>
      </c>
      <c r="B87" s="16">
        <v>8.8150000000000013</v>
      </c>
      <c r="C87" s="16">
        <v>317.7</v>
      </c>
    </row>
    <row r="88" spans="1:3" x14ac:dyDescent="0.2">
      <c r="A88" s="168">
        <v>43469</v>
      </c>
      <c r="B88" s="16">
        <v>8.91</v>
      </c>
      <c r="C88" s="16">
        <v>320</v>
      </c>
    </row>
    <row r="89" spans="1:3" x14ac:dyDescent="0.2">
      <c r="A89" s="168">
        <v>43472</v>
      </c>
      <c r="B89" s="16">
        <v>8.9349999999999987</v>
      </c>
      <c r="C89" s="16">
        <v>323.2</v>
      </c>
    </row>
    <row r="90" spans="1:3" x14ac:dyDescent="0.2">
      <c r="A90" s="168">
        <v>43473</v>
      </c>
      <c r="B90" s="16">
        <v>8.8800000000000008</v>
      </c>
      <c r="C90" s="16">
        <v>322.60000000000002</v>
      </c>
    </row>
    <row r="91" spans="1:3" x14ac:dyDescent="0.2">
      <c r="A91" s="168">
        <v>43474</v>
      </c>
      <c r="B91" s="16">
        <v>8.9250000000000007</v>
      </c>
      <c r="C91" s="16">
        <v>324.39999999999998</v>
      </c>
    </row>
    <row r="92" spans="1:3" x14ac:dyDescent="0.2">
      <c r="A92" s="168">
        <v>43475</v>
      </c>
      <c r="B92" s="16">
        <v>8.7250000000000014</v>
      </c>
      <c r="C92" s="16">
        <v>317.8</v>
      </c>
    </row>
    <row r="93" spans="1:3" x14ac:dyDescent="0.2">
      <c r="A93" s="168">
        <v>43476</v>
      </c>
      <c r="B93" s="16">
        <v>8.74</v>
      </c>
      <c r="C93" s="16">
        <v>315.60000000000002</v>
      </c>
    </row>
    <row r="94" spans="1:3" x14ac:dyDescent="0.2">
      <c r="A94" s="168">
        <v>43479</v>
      </c>
      <c r="B94" s="16">
        <v>8.68</v>
      </c>
      <c r="C94" s="16">
        <v>312.8</v>
      </c>
    </row>
    <row r="95" spans="1:3" x14ac:dyDescent="0.2">
      <c r="A95" s="168">
        <v>43480</v>
      </c>
      <c r="B95" s="16">
        <v>8.5549999999999997</v>
      </c>
      <c r="C95" s="16">
        <v>310.3</v>
      </c>
    </row>
    <row r="96" spans="1:3" x14ac:dyDescent="0.2">
      <c r="A96" s="168">
        <v>43481</v>
      </c>
      <c r="B96" s="16">
        <v>8.59</v>
      </c>
      <c r="C96" s="16">
        <v>311.60000000000002</v>
      </c>
    </row>
    <row r="97" spans="1:3" x14ac:dyDescent="0.2">
      <c r="A97" s="168">
        <v>43482</v>
      </c>
      <c r="B97" s="16">
        <v>8.7250000000000014</v>
      </c>
      <c r="C97" s="16">
        <v>313.7</v>
      </c>
    </row>
    <row r="98" spans="1:3" x14ac:dyDescent="0.2">
      <c r="A98" s="168">
        <v>43483</v>
      </c>
      <c r="B98" s="16">
        <v>8.8249999999999993</v>
      </c>
      <c r="C98" s="16">
        <v>316.60000000000002</v>
      </c>
    </row>
    <row r="99" spans="1:3" x14ac:dyDescent="0.2">
      <c r="A99" s="168">
        <v>43487</v>
      </c>
      <c r="B99" s="16">
        <v>8.754999999999999</v>
      </c>
      <c r="C99" s="16">
        <v>314.5</v>
      </c>
    </row>
    <row r="100" spans="1:3" x14ac:dyDescent="0.2">
      <c r="A100" s="168">
        <v>43488</v>
      </c>
      <c r="B100" s="16">
        <v>8.8350000000000009</v>
      </c>
      <c r="C100" s="16">
        <v>311.89999999999998</v>
      </c>
    </row>
    <row r="101" spans="1:3" x14ac:dyDescent="0.2">
      <c r="A101" s="168">
        <v>43489</v>
      </c>
      <c r="B101" s="16">
        <v>8.8449999999999989</v>
      </c>
      <c r="C101" s="16">
        <v>311.3</v>
      </c>
    </row>
    <row r="102" spans="1:3" x14ac:dyDescent="0.2">
      <c r="A102" s="168">
        <v>43490</v>
      </c>
      <c r="B102" s="16">
        <v>8.9349999999999987</v>
      </c>
      <c r="C102" s="16">
        <v>312.89999999999998</v>
      </c>
    </row>
    <row r="103" spans="1:3" x14ac:dyDescent="0.2">
      <c r="A103" s="168">
        <v>43493</v>
      </c>
      <c r="B103" s="16">
        <v>8.9149999999999991</v>
      </c>
      <c r="C103" s="16">
        <v>311.2</v>
      </c>
    </row>
    <row r="104" spans="1:3" x14ac:dyDescent="0.2">
      <c r="A104" s="168">
        <v>43494</v>
      </c>
      <c r="B104" s="16">
        <v>8.89</v>
      </c>
      <c r="C104" s="16">
        <v>310.8</v>
      </c>
    </row>
    <row r="105" spans="1:3" x14ac:dyDescent="0.2">
      <c r="A105" s="168">
        <v>43495</v>
      </c>
      <c r="B105" s="16">
        <v>8.91</v>
      </c>
      <c r="C105" s="16">
        <v>310.10000000000002</v>
      </c>
    </row>
    <row r="106" spans="1:3" x14ac:dyDescent="0.2">
      <c r="A106" s="168">
        <v>43496</v>
      </c>
      <c r="B106" s="16">
        <v>8.86</v>
      </c>
      <c r="C106" s="16">
        <v>309</v>
      </c>
    </row>
    <row r="107" spans="1:3" x14ac:dyDescent="0.2">
      <c r="A107" s="168">
        <v>43497</v>
      </c>
      <c r="B107" s="16">
        <v>8.89</v>
      </c>
      <c r="C107" s="16">
        <v>311.3</v>
      </c>
    </row>
    <row r="108" spans="1:3" x14ac:dyDescent="0.2">
      <c r="A108" s="168">
        <v>43500</v>
      </c>
      <c r="B108" s="16">
        <v>8.89</v>
      </c>
      <c r="C108" s="16">
        <v>310.10000000000002</v>
      </c>
    </row>
    <row r="109" spans="1:3" x14ac:dyDescent="0.2">
      <c r="A109" s="168">
        <v>43501</v>
      </c>
      <c r="B109" s="16">
        <v>8.9349999999999987</v>
      </c>
      <c r="C109" s="16">
        <v>309</v>
      </c>
    </row>
    <row r="110" spans="1:3" x14ac:dyDescent="0.2">
      <c r="A110" s="168">
        <v>43502</v>
      </c>
      <c r="B110" s="16">
        <v>8.9550000000000001</v>
      </c>
      <c r="C110" s="16">
        <v>307.5</v>
      </c>
    </row>
    <row r="111" spans="1:3" x14ac:dyDescent="0.2">
      <c r="A111" s="168">
        <v>43503</v>
      </c>
      <c r="B111" s="16">
        <v>8.8650000000000002</v>
      </c>
      <c r="C111" s="16">
        <v>304</v>
      </c>
    </row>
    <row r="112" spans="1:3" x14ac:dyDescent="0.2">
      <c r="A112" s="168">
        <v>43504</v>
      </c>
      <c r="B112" s="16">
        <v>8.879999999999999</v>
      </c>
      <c r="C112" s="16">
        <v>304.60000000000002</v>
      </c>
    </row>
    <row r="113" spans="1:3" x14ac:dyDescent="0.2">
      <c r="A113" s="168">
        <v>43507</v>
      </c>
      <c r="B113" s="16">
        <v>8.7899999999999991</v>
      </c>
      <c r="C113" s="16">
        <v>305.39999999999998</v>
      </c>
    </row>
    <row r="114" spans="1:3" x14ac:dyDescent="0.2">
      <c r="A114" s="168">
        <v>43508</v>
      </c>
      <c r="B114" s="16">
        <v>8.92</v>
      </c>
      <c r="C114" s="16">
        <v>309.7</v>
      </c>
    </row>
    <row r="115" spans="1:3" x14ac:dyDescent="0.2">
      <c r="A115" s="168">
        <v>43509</v>
      </c>
      <c r="B115" s="16">
        <v>8.92</v>
      </c>
      <c r="C115" s="16">
        <v>310.60000000000002</v>
      </c>
    </row>
    <row r="116" spans="1:3" x14ac:dyDescent="0.2">
      <c r="A116" s="168">
        <v>43510</v>
      </c>
      <c r="B116" s="16">
        <v>8.7899999999999991</v>
      </c>
      <c r="C116" s="16">
        <v>306</v>
      </c>
    </row>
    <row r="117" spans="1:3" x14ac:dyDescent="0.2">
      <c r="A117" s="168">
        <v>43511</v>
      </c>
      <c r="B117" s="16">
        <v>8.83</v>
      </c>
      <c r="C117" s="16">
        <v>307</v>
      </c>
    </row>
    <row r="118" spans="1:3" x14ac:dyDescent="0.2">
      <c r="A118" s="168">
        <v>43515</v>
      </c>
      <c r="B118" s="16">
        <v>8.7650000000000006</v>
      </c>
      <c r="C118" s="16">
        <v>305.89999999999998</v>
      </c>
    </row>
    <row r="119" spans="1:3" x14ac:dyDescent="0.2">
      <c r="A119" s="168">
        <v>43516</v>
      </c>
      <c r="B119" s="16">
        <v>8.75</v>
      </c>
      <c r="C119" s="16">
        <v>305.7</v>
      </c>
    </row>
    <row r="120" spans="1:3" x14ac:dyDescent="0.2">
      <c r="A120" s="168">
        <v>43517</v>
      </c>
      <c r="B120" s="16">
        <v>8.84</v>
      </c>
      <c r="C120" s="16">
        <v>306.39999999999998</v>
      </c>
    </row>
    <row r="121" spans="1:3" x14ac:dyDescent="0.2">
      <c r="A121" s="168">
        <v>43518</v>
      </c>
      <c r="B121" s="16">
        <v>8.83</v>
      </c>
      <c r="C121" s="16">
        <v>306.60000000000002</v>
      </c>
    </row>
    <row r="122" spans="1:3" x14ac:dyDescent="0.2">
      <c r="A122" s="168">
        <v>43521</v>
      </c>
      <c r="B122" s="16">
        <v>8.8500000000000014</v>
      </c>
      <c r="C122" s="16">
        <v>306.39999999999998</v>
      </c>
    </row>
    <row r="123" spans="1:3" x14ac:dyDescent="0.2">
      <c r="A123" s="168">
        <v>43522</v>
      </c>
      <c r="B123" s="16">
        <v>8.7800000000000011</v>
      </c>
      <c r="C123" s="16">
        <v>304.2</v>
      </c>
    </row>
    <row r="124" spans="1:3" x14ac:dyDescent="0.2">
      <c r="A124" s="168">
        <v>43523</v>
      </c>
      <c r="B124" s="16">
        <v>8.7800000000000011</v>
      </c>
      <c r="C124" s="16">
        <v>306</v>
      </c>
    </row>
    <row r="125" spans="1:3" x14ac:dyDescent="0.2">
      <c r="A125" s="168">
        <v>43524</v>
      </c>
      <c r="B125" s="16">
        <v>8.7199999999999989</v>
      </c>
      <c r="C125" s="16">
        <v>303.3</v>
      </c>
    </row>
    <row r="126" spans="1:3" x14ac:dyDescent="0.2">
      <c r="A126" s="168">
        <v>43525</v>
      </c>
      <c r="B126" s="16">
        <v>8.73</v>
      </c>
      <c r="C126" s="16">
        <v>304.5</v>
      </c>
    </row>
    <row r="127" spans="1:3" x14ac:dyDescent="0.2">
      <c r="A127" s="168">
        <v>43528</v>
      </c>
      <c r="B127" s="16">
        <v>8.7750000000000004</v>
      </c>
      <c r="C127" s="16">
        <v>307.60000000000002</v>
      </c>
    </row>
    <row r="128" spans="1:3" x14ac:dyDescent="0.2">
      <c r="A128" s="168">
        <v>43529</v>
      </c>
      <c r="B128" s="16">
        <v>8.7650000000000006</v>
      </c>
      <c r="C128" s="16">
        <v>307</v>
      </c>
    </row>
    <row r="129" spans="1:3" x14ac:dyDescent="0.2">
      <c r="A129" s="168">
        <v>43530</v>
      </c>
      <c r="B129" s="16">
        <v>8.6449999999999996</v>
      </c>
      <c r="C129" s="16">
        <v>303.10000000000002</v>
      </c>
    </row>
    <row r="130" spans="1:3" x14ac:dyDescent="0.2">
      <c r="A130" s="168">
        <v>43531</v>
      </c>
      <c r="B130" s="16">
        <v>8.66</v>
      </c>
      <c r="C130" s="16">
        <v>303.3</v>
      </c>
    </row>
    <row r="131" spans="1:3" x14ac:dyDescent="0.2">
      <c r="A131" s="168">
        <v>43532</v>
      </c>
      <c r="B131" s="16">
        <v>8.629999999999999</v>
      </c>
      <c r="C131" s="16">
        <v>301.2</v>
      </c>
    </row>
    <row r="132" spans="1:3" x14ac:dyDescent="0.2">
      <c r="A132" s="168">
        <v>43535</v>
      </c>
      <c r="B132" s="16">
        <v>8.5599999999999987</v>
      </c>
      <c r="C132" s="16">
        <v>298.8</v>
      </c>
    </row>
    <row r="133" spans="1:3" x14ac:dyDescent="0.2">
      <c r="A133" s="168">
        <v>43536</v>
      </c>
      <c r="B133" s="16">
        <v>8.6449999999999996</v>
      </c>
      <c r="C133" s="16">
        <v>300.5</v>
      </c>
    </row>
    <row r="134" spans="1:3" x14ac:dyDescent="0.2">
      <c r="A134" s="168">
        <v>43537</v>
      </c>
      <c r="B134" s="16">
        <v>8.6850000000000005</v>
      </c>
      <c r="C134" s="16">
        <v>301.7</v>
      </c>
    </row>
    <row r="135" spans="1:3" x14ac:dyDescent="0.2">
      <c r="A135" s="168">
        <v>43538</v>
      </c>
      <c r="B135" s="16">
        <v>8.66</v>
      </c>
      <c r="C135" s="16">
        <v>308.89999999999998</v>
      </c>
    </row>
    <row r="136" spans="1:3" x14ac:dyDescent="0.2">
      <c r="A136" s="168">
        <v>43539</v>
      </c>
      <c r="B136" s="16">
        <v>8.7650000000000006</v>
      </c>
      <c r="C136" s="16">
        <v>308.8</v>
      </c>
    </row>
    <row r="137" spans="1:3" x14ac:dyDescent="0.2">
      <c r="A137" s="168">
        <v>43542</v>
      </c>
      <c r="B137" s="16">
        <v>8.76</v>
      </c>
      <c r="C137" s="16">
        <v>307.8</v>
      </c>
    </row>
    <row r="138" spans="1:3" x14ac:dyDescent="0.2">
      <c r="A138" s="168">
        <v>43543</v>
      </c>
      <c r="B138" s="16">
        <v>8.75</v>
      </c>
      <c r="C138" s="16">
        <v>308.8</v>
      </c>
    </row>
    <row r="139" spans="1:3" x14ac:dyDescent="0.2">
      <c r="A139" s="168">
        <v>43544</v>
      </c>
      <c r="B139" s="16">
        <v>8.77</v>
      </c>
      <c r="C139" s="16">
        <v>309.60000000000002</v>
      </c>
    </row>
    <row r="140" spans="1:3" x14ac:dyDescent="0.2">
      <c r="A140" s="168">
        <v>43545</v>
      </c>
      <c r="B140" s="16">
        <v>8.81</v>
      </c>
      <c r="C140" s="16">
        <v>313.3</v>
      </c>
    </row>
    <row r="141" spans="1:3" x14ac:dyDescent="0.2">
      <c r="A141" s="168">
        <v>43546</v>
      </c>
      <c r="B141" s="16">
        <v>8.75</v>
      </c>
      <c r="C141" s="16">
        <v>313</v>
      </c>
    </row>
    <row r="142" spans="1:3" x14ac:dyDescent="0.2">
      <c r="A142" s="168">
        <v>43549</v>
      </c>
      <c r="B142" s="16">
        <v>8.75</v>
      </c>
      <c r="C142" s="16">
        <v>313.60000000000002</v>
      </c>
    </row>
    <row r="143" spans="1:3" x14ac:dyDescent="0.2">
      <c r="A143" s="168">
        <v>43550</v>
      </c>
      <c r="B143" s="16">
        <v>8.6950000000000003</v>
      </c>
      <c r="C143" s="16">
        <v>309.5</v>
      </c>
    </row>
    <row r="144" spans="1:3" x14ac:dyDescent="0.2">
      <c r="A144" s="168">
        <v>43551</v>
      </c>
      <c r="B144" s="16">
        <v>8.57</v>
      </c>
      <c r="C144" s="16">
        <v>302.89999999999998</v>
      </c>
    </row>
    <row r="145" spans="1:3" x14ac:dyDescent="0.2">
      <c r="A145" s="168">
        <v>43552</v>
      </c>
      <c r="B145" s="16">
        <v>8.59</v>
      </c>
      <c r="C145" s="16">
        <v>305</v>
      </c>
    </row>
    <row r="146" spans="1:3" x14ac:dyDescent="0.2">
      <c r="A146" s="168">
        <v>43553</v>
      </c>
      <c r="B146" s="16">
        <v>8.5350000000000001</v>
      </c>
      <c r="C146" s="16">
        <v>305</v>
      </c>
    </row>
    <row r="147" spans="1:3" x14ac:dyDescent="0.2">
      <c r="A147" s="168">
        <v>43556</v>
      </c>
      <c r="B147" s="16">
        <v>8.66</v>
      </c>
      <c r="C147" s="16">
        <v>307.89999999999998</v>
      </c>
    </row>
    <row r="148" spans="1:3" x14ac:dyDescent="0.2">
      <c r="A148" s="168">
        <v>43557</v>
      </c>
      <c r="B148" s="16">
        <v>8.7250000000000014</v>
      </c>
      <c r="C148" s="16">
        <v>309.10000000000002</v>
      </c>
    </row>
    <row r="149" spans="1:3" x14ac:dyDescent="0.2">
      <c r="A149" s="168">
        <v>43558</v>
      </c>
      <c r="B149" s="16">
        <v>8.7149999999999999</v>
      </c>
      <c r="C149" s="16">
        <v>309.5</v>
      </c>
    </row>
    <row r="150" spans="1:3" x14ac:dyDescent="0.2">
      <c r="A150" s="168">
        <v>43559</v>
      </c>
      <c r="B150" s="16">
        <v>8.7899999999999991</v>
      </c>
      <c r="C150" s="16">
        <v>310.39999999999998</v>
      </c>
    </row>
    <row r="151" spans="1:3" x14ac:dyDescent="0.2">
      <c r="A151" s="168">
        <v>43560</v>
      </c>
      <c r="B151" s="16">
        <v>8.7149999999999999</v>
      </c>
      <c r="C151" s="16">
        <v>306.5</v>
      </c>
    </row>
    <row r="152" spans="1:3" x14ac:dyDescent="0.2">
      <c r="A152" s="168">
        <v>43563</v>
      </c>
      <c r="B152" s="16">
        <v>8.7149999999999999</v>
      </c>
      <c r="C152" s="16">
        <v>307.7</v>
      </c>
    </row>
    <row r="153" spans="1:3" x14ac:dyDescent="0.2">
      <c r="A153" s="168">
        <v>43564</v>
      </c>
      <c r="B153" s="16">
        <v>8.7250000000000014</v>
      </c>
      <c r="C153" s="16">
        <v>307.60000000000002</v>
      </c>
    </row>
    <row r="154" spans="1:3" x14ac:dyDescent="0.2">
      <c r="A154" s="168">
        <v>43565</v>
      </c>
      <c r="B154" s="16">
        <v>8.754999999999999</v>
      </c>
      <c r="C154" s="16">
        <v>308.60000000000002</v>
      </c>
    </row>
    <row r="155" spans="1:3" x14ac:dyDescent="0.2">
      <c r="A155" s="168">
        <v>43566</v>
      </c>
      <c r="B155" s="16">
        <v>8.6849999999999987</v>
      </c>
      <c r="C155" s="16">
        <v>305.7</v>
      </c>
    </row>
    <row r="156" spans="1:3" x14ac:dyDescent="0.2">
      <c r="A156" s="168">
        <v>43567</v>
      </c>
      <c r="B156" s="16">
        <v>8.6849999999999987</v>
      </c>
      <c r="C156" s="16">
        <v>306.39999999999998</v>
      </c>
    </row>
    <row r="157" spans="1:3" x14ac:dyDescent="0.2">
      <c r="A157" s="168">
        <v>43570</v>
      </c>
      <c r="B157" s="16">
        <v>8.7250000000000014</v>
      </c>
      <c r="C157" s="16">
        <v>309.5</v>
      </c>
    </row>
    <row r="158" spans="1:3" x14ac:dyDescent="0.2">
      <c r="A158" s="168">
        <v>43571</v>
      </c>
      <c r="B158" s="16">
        <v>8.6149999999999984</v>
      </c>
      <c r="C158" s="16">
        <v>305</v>
      </c>
    </row>
    <row r="159" spans="1:3" x14ac:dyDescent="0.2">
      <c r="A159" s="168">
        <v>43572</v>
      </c>
      <c r="B159" s="16">
        <v>8.5150000000000006</v>
      </c>
      <c r="C159" s="16">
        <v>302.39999999999998</v>
      </c>
    </row>
    <row r="160" spans="1:3" x14ac:dyDescent="0.2">
      <c r="A160" s="168">
        <v>43573</v>
      </c>
      <c r="B160" s="16">
        <v>8.5300000000000011</v>
      </c>
      <c r="C160" s="16">
        <v>301.7</v>
      </c>
    </row>
    <row r="161" spans="1:3" x14ac:dyDescent="0.2">
      <c r="A161" s="168">
        <v>43577</v>
      </c>
      <c r="B161" s="16">
        <v>8.495000000000001</v>
      </c>
      <c r="C161" s="16">
        <v>301</v>
      </c>
    </row>
    <row r="162" spans="1:3" x14ac:dyDescent="0.2">
      <c r="A162" s="168">
        <v>43578</v>
      </c>
      <c r="B162" s="16">
        <v>8.3449999999999989</v>
      </c>
      <c r="C162" s="16">
        <v>299.5</v>
      </c>
    </row>
    <row r="163" spans="1:3" x14ac:dyDescent="0.2">
      <c r="A163" s="168">
        <v>43579</v>
      </c>
      <c r="B163" s="16">
        <v>8.3049999999999997</v>
      </c>
      <c r="C163" s="16">
        <v>297.89999999999998</v>
      </c>
    </row>
    <row r="164" spans="1:3" x14ac:dyDescent="0.2">
      <c r="A164" s="168">
        <v>43580</v>
      </c>
      <c r="B164" s="16">
        <v>8.375</v>
      </c>
      <c r="C164" s="16">
        <v>303.5</v>
      </c>
    </row>
    <row r="165" spans="1:3" x14ac:dyDescent="0.2">
      <c r="A165" s="168">
        <v>43581</v>
      </c>
      <c r="B165" s="16">
        <v>8.3249999999999993</v>
      </c>
      <c r="C165" s="16">
        <v>297.39999999999998</v>
      </c>
    </row>
    <row r="166" spans="1:3" x14ac:dyDescent="0.2">
      <c r="A166" s="168">
        <v>43584</v>
      </c>
      <c r="B166" s="16">
        <v>8.27</v>
      </c>
      <c r="C166" s="16">
        <v>296.7</v>
      </c>
    </row>
    <row r="167" spans="1:3" x14ac:dyDescent="0.2">
      <c r="A167" s="168">
        <v>43585</v>
      </c>
      <c r="B167" s="16">
        <v>8.2249999999999996</v>
      </c>
      <c r="C167" s="16">
        <v>295.5</v>
      </c>
    </row>
    <row r="168" spans="1:3" x14ac:dyDescent="0.2">
      <c r="A168" s="168">
        <v>43586</v>
      </c>
      <c r="B168" s="16">
        <v>8.2199999999999989</v>
      </c>
      <c r="C168" s="16">
        <v>295.8</v>
      </c>
    </row>
    <row r="169" spans="1:3" x14ac:dyDescent="0.2">
      <c r="A169" s="168">
        <v>43587</v>
      </c>
      <c r="B169" s="16">
        <v>8.129999999999999</v>
      </c>
      <c r="C169" s="16">
        <v>292.39999999999998</v>
      </c>
    </row>
    <row r="170" spans="1:3" x14ac:dyDescent="0.2">
      <c r="A170" s="168">
        <v>43588</v>
      </c>
      <c r="B170" s="16">
        <v>8.1349999999999998</v>
      </c>
      <c r="C170" s="16">
        <v>295.2</v>
      </c>
    </row>
    <row r="171" spans="1:3" x14ac:dyDescent="0.2">
      <c r="A171" s="168">
        <v>43591</v>
      </c>
      <c r="B171" s="16">
        <v>8.0250000000000004</v>
      </c>
      <c r="C171" s="16">
        <v>293.60000000000002</v>
      </c>
    </row>
    <row r="172" spans="1:3" x14ac:dyDescent="0.2">
      <c r="A172" s="168">
        <v>43592</v>
      </c>
      <c r="B172" s="16">
        <v>8.0250000000000004</v>
      </c>
      <c r="C172" s="16">
        <v>290.2</v>
      </c>
    </row>
    <row r="173" spans="1:3" x14ac:dyDescent="0.2">
      <c r="A173" s="168">
        <v>43593</v>
      </c>
      <c r="B173" s="16">
        <v>7.9799999999999995</v>
      </c>
      <c r="C173" s="16">
        <v>289.89999999999998</v>
      </c>
    </row>
    <row r="174" spans="1:3" x14ac:dyDescent="0.2">
      <c r="A174" s="168">
        <v>43594</v>
      </c>
      <c r="B174" s="16">
        <v>7.835</v>
      </c>
      <c r="C174" s="16">
        <v>286.10000000000002</v>
      </c>
    </row>
    <row r="175" spans="1:3" x14ac:dyDescent="0.2">
      <c r="A175" s="168">
        <v>43595</v>
      </c>
      <c r="B175" s="16">
        <v>7.7949999999999999</v>
      </c>
      <c r="C175" s="16">
        <v>284.3</v>
      </c>
    </row>
    <row r="176" spans="1:3" x14ac:dyDescent="0.2">
      <c r="A176" s="168">
        <v>43598</v>
      </c>
      <c r="B176" s="16">
        <v>7.73</v>
      </c>
      <c r="C176" s="16">
        <v>284.3</v>
      </c>
    </row>
    <row r="177" spans="1:3" x14ac:dyDescent="0.2">
      <c r="A177" s="168">
        <v>43599</v>
      </c>
      <c r="B177" s="16">
        <v>8.01</v>
      </c>
      <c r="C177" s="16">
        <v>295</v>
      </c>
    </row>
    <row r="178" spans="1:3" x14ac:dyDescent="0.2">
      <c r="A178" s="168">
        <v>43600</v>
      </c>
      <c r="B178" s="16">
        <v>8.0599999999999987</v>
      </c>
      <c r="C178" s="16">
        <v>296.8</v>
      </c>
    </row>
    <row r="179" spans="1:3" x14ac:dyDescent="0.2">
      <c r="A179" s="168">
        <v>43601</v>
      </c>
      <c r="B179" s="16">
        <v>8.1150000000000002</v>
      </c>
      <c r="C179" s="16">
        <v>298.89999999999998</v>
      </c>
    </row>
    <row r="180" spans="1:3" x14ac:dyDescent="0.2">
      <c r="A180" s="168">
        <v>43602</v>
      </c>
      <c r="B180" s="16">
        <v>7.94</v>
      </c>
      <c r="C180" s="16">
        <v>291.3</v>
      </c>
    </row>
    <row r="181" spans="1:3" x14ac:dyDescent="0.2">
      <c r="A181" s="168">
        <v>43605</v>
      </c>
      <c r="B181" s="16">
        <v>8.0250000000000004</v>
      </c>
      <c r="C181" s="16">
        <v>294.3</v>
      </c>
    </row>
    <row r="182" spans="1:3" x14ac:dyDescent="0.2">
      <c r="A182" s="168">
        <v>43606</v>
      </c>
      <c r="B182" s="16">
        <v>7.9350000000000005</v>
      </c>
      <c r="C182" s="16">
        <v>292.3</v>
      </c>
    </row>
    <row r="183" spans="1:3" x14ac:dyDescent="0.2">
      <c r="A183" s="168">
        <v>43607</v>
      </c>
      <c r="B183" s="16">
        <v>8.01</v>
      </c>
      <c r="C183" s="16">
        <v>295.3</v>
      </c>
    </row>
    <row r="184" spans="1:3" x14ac:dyDescent="0.2">
      <c r="A184" s="168">
        <v>43608</v>
      </c>
      <c r="B184" s="16">
        <v>7.95</v>
      </c>
      <c r="C184" s="16">
        <v>293.7</v>
      </c>
    </row>
    <row r="185" spans="1:3" x14ac:dyDescent="0.2">
      <c r="A185" s="168">
        <v>43609</v>
      </c>
      <c r="B185" s="16">
        <v>8.01</v>
      </c>
      <c r="C185" s="16">
        <v>299.5</v>
      </c>
    </row>
    <row r="186" spans="1:3" x14ac:dyDescent="0.2">
      <c r="A186" s="168">
        <v>43613</v>
      </c>
      <c r="B186" s="16">
        <v>8.25</v>
      </c>
      <c r="C186" s="16">
        <v>311.8</v>
      </c>
    </row>
    <row r="187" spans="1:3" x14ac:dyDescent="0.2">
      <c r="A187" s="168">
        <v>43614</v>
      </c>
      <c r="B187" s="16">
        <v>8.42</v>
      </c>
      <c r="C187" s="16">
        <v>318</v>
      </c>
    </row>
    <row r="188" spans="1:3" x14ac:dyDescent="0.2">
      <c r="A188" s="168">
        <v>43615</v>
      </c>
      <c r="B188" s="16">
        <v>8.59</v>
      </c>
      <c r="C188" s="16">
        <v>326.39999999999998</v>
      </c>
    </row>
    <row r="189" spans="1:3" x14ac:dyDescent="0.2">
      <c r="A189" s="168">
        <v>43616</v>
      </c>
      <c r="B189" s="16">
        <v>8.49</v>
      </c>
      <c r="C189" s="16">
        <v>320.3</v>
      </c>
    </row>
    <row r="190" spans="1:3" x14ac:dyDescent="0.2">
      <c r="A190" s="168">
        <v>43619</v>
      </c>
      <c r="B190" s="16">
        <v>8.5399999999999991</v>
      </c>
      <c r="C190" s="16">
        <v>319.5</v>
      </c>
    </row>
    <row r="191" spans="1:3" x14ac:dyDescent="0.2">
      <c r="A191" s="168">
        <v>43620</v>
      </c>
      <c r="B191" s="16">
        <v>8.620000000000001</v>
      </c>
      <c r="C191" s="16">
        <v>320</v>
      </c>
    </row>
    <row r="192" spans="1:3" x14ac:dyDescent="0.2">
      <c r="A192" s="168">
        <v>43621</v>
      </c>
      <c r="B192" s="16">
        <v>8.5</v>
      </c>
      <c r="C192" s="16">
        <v>319.2</v>
      </c>
    </row>
    <row r="193" spans="1:3" x14ac:dyDescent="0.2">
      <c r="A193" s="168">
        <v>43622</v>
      </c>
      <c r="B193" s="16">
        <v>8.5350000000000001</v>
      </c>
      <c r="C193" s="16">
        <v>317.39999999999998</v>
      </c>
    </row>
    <row r="194" spans="1:3" x14ac:dyDescent="0.2">
      <c r="A194" s="168">
        <v>43623</v>
      </c>
      <c r="B194" s="16">
        <v>8.4250000000000007</v>
      </c>
      <c r="C194" s="16">
        <v>321.3</v>
      </c>
    </row>
    <row r="195" spans="1:3" x14ac:dyDescent="0.2">
      <c r="A195" s="168">
        <v>43626</v>
      </c>
      <c r="B195" s="16">
        <v>8.4499999999999993</v>
      </c>
      <c r="C195" s="16">
        <v>322.39999999999998</v>
      </c>
    </row>
    <row r="196" spans="1:3" x14ac:dyDescent="0.2">
      <c r="A196" s="168">
        <v>43627</v>
      </c>
      <c r="B196" s="16">
        <v>8.48</v>
      </c>
      <c r="C196" s="16">
        <v>323.39999999999998</v>
      </c>
    </row>
    <row r="197" spans="1:3" x14ac:dyDescent="0.2">
      <c r="A197" s="168">
        <v>43628</v>
      </c>
      <c r="B197" s="16">
        <v>8.67</v>
      </c>
      <c r="C197" s="16">
        <v>328.5</v>
      </c>
    </row>
    <row r="198" spans="1:3" x14ac:dyDescent="0.2">
      <c r="A198" s="168">
        <v>43629</v>
      </c>
      <c r="B198" s="16">
        <v>8.7949999999999999</v>
      </c>
      <c r="C198" s="16">
        <v>330.7</v>
      </c>
    </row>
    <row r="199" spans="1:3" x14ac:dyDescent="0.2">
      <c r="A199" s="168">
        <v>43630</v>
      </c>
      <c r="B199" s="16">
        <v>8.9049999999999994</v>
      </c>
      <c r="C199" s="16">
        <v>332.5</v>
      </c>
    </row>
    <row r="200" spans="1:3" x14ac:dyDescent="0.2">
      <c r="A200" s="168">
        <v>43633</v>
      </c>
      <c r="B200" s="16">
        <v>9.0649999999999995</v>
      </c>
      <c r="C200" s="16">
        <v>333.3</v>
      </c>
    </row>
    <row r="201" spans="1:3" x14ac:dyDescent="0.2">
      <c r="A201" s="168">
        <v>43634</v>
      </c>
      <c r="B201" s="16">
        <v>9.0500000000000007</v>
      </c>
      <c r="C201" s="16">
        <v>331</v>
      </c>
    </row>
    <row r="202" spans="1:3" x14ac:dyDescent="0.2">
      <c r="A202" s="168">
        <v>43635</v>
      </c>
      <c r="B202" s="16">
        <v>8.9499999999999993</v>
      </c>
      <c r="C202" s="16">
        <v>325.89999999999998</v>
      </c>
    </row>
    <row r="203" spans="1:3" x14ac:dyDescent="0.2">
      <c r="A203" s="168">
        <v>43636</v>
      </c>
      <c r="B203" s="16">
        <v>9.09</v>
      </c>
      <c r="C203" s="16">
        <v>332</v>
      </c>
    </row>
    <row r="204" spans="1:3" x14ac:dyDescent="0.2">
      <c r="A204" s="168">
        <v>43637</v>
      </c>
      <c r="B204" s="16">
        <v>8.9649999999999999</v>
      </c>
      <c r="C204" s="16">
        <v>324.60000000000002</v>
      </c>
    </row>
    <row r="205" spans="1:3" x14ac:dyDescent="0.2">
      <c r="A205" s="168">
        <v>43640</v>
      </c>
      <c r="B205" s="16">
        <v>9.0449999999999999</v>
      </c>
      <c r="C205" s="16">
        <v>326.60000000000002</v>
      </c>
    </row>
    <row r="206" spans="1:3" x14ac:dyDescent="0.2">
      <c r="A206" s="168">
        <v>43641</v>
      </c>
      <c r="B206" s="16">
        <v>9</v>
      </c>
      <c r="C206" s="16">
        <v>324.7</v>
      </c>
    </row>
    <row r="207" spans="1:3" x14ac:dyDescent="0.2">
      <c r="A207" s="168">
        <v>43642</v>
      </c>
      <c r="B207" s="16">
        <v>8.9049999999999994</v>
      </c>
      <c r="C207" s="16">
        <v>322.39999999999998</v>
      </c>
    </row>
    <row r="208" spans="1:3" x14ac:dyDescent="0.2">
      <c r="A208" s="168">
        <v>43643</v>
      </c>
      <c r="B208" s="16">
        <v>8.870000000000001</v>
      </c>
      <c r="C208" s="16">
        <v>321.2</v>
      </c>
    </row>
    <row r="209" spans="1:3" x14ac:dyDescent="0.2">
      <c r="A209" s="168">
        <v>43644</v>
      </c>
      <c r="B209" s="16">
        <v>8.99</v>
      </c>
      <c r="C209" s="16">
        <v>318.3</v>
      </c>
    </row>
    <row r="210" spans="1:3" x14ac:dyDescent="0.2">
      <c r="A210" s="168">
        <v>43647</v>
      </c>
      <c r="B210" s="16">
        <v>8.8850000000000016</v>
      </c>
      <c r="C210" s="16">
        <v>310.2</v>
      </c>
    </row>
    <row r="211" spans="1:3" x14ac:dyDescent="0.2">
      <c r="A211" s="168">
        <v>43648</v>
      </c>
      <c r="B211" s="16">
        <v>8.8000000000000007</v>
      </c>
      <c r="C211" s="16">
        <v>308.7</v>
      </c>
    </row>
    <row r="212" spans="1:3" x14ac:dyDescent="0.2">
      <c r="A212" s="168">
        <v>43649</v>
      </c>
      <c r="B212" s="16">
        <v>8.9050000000000011</v>
      </c>
      <c r="C212" s="16">
        <v>311.10000000000002</v>
      </c>
    </row>
    <row r="213" spans="1:3" x14ac:dyDescent="0.2">
      <c r="A213" s="168">
        <v>43651</v>
      </c>
      <c r="B213" s="16">
        <v>8.7650000000000006</v>
      </c>
      <c r="C213" s="16">
        <v>308.8</v>
      </c>
    </row>
    <row r="214" spans="1:3" x14ac:dyDescent="0.2">
      <c r="A214" s="168">
        <v>43654</v>
      </c>
      <c r="B214" s="16">
        <v>8.8350000000000009</v>
      </c>
      <c r="C214" s="16">
        <v>308.8</v>
      </c>
    </row>
    <row r="215" spans="1:3" x14ac:dyDescent="0.2">
      <c r="A215" s="168">
        <v>43655</v>
      </c>
      <c r="B215" s="16">
        <v>8.8949999999999996</v>
      </c>
      <c r="C215" s="16">
        <v>312.2</v>
      </c>
    </row>
    <row r="216" spans="1:3" x14ac:dyDescent="0.2">
      <c r="A216" s="168">
        <v>43656</v>
      </c>
      <c r="B216" s="16">
        <v>9.0399999999999991</v>
      </c>
      <c r="C216" s="16">
        <v>313.7</v>
      </c>
    </row>
    <row r="217" spans="1:3" x14ac:dyDescent="0.2">
      <c r="A217" s="168">
        <v>43657</v>
      </c>
      <c r="B217" s="16">
        <v>9.09</v>
      </c>
      <c r="C217" s="16">
        <v>315.39999999999998</v>
      </c>
    </row>
    <row r="218" spans="1:3" x14ac:dyDescent="0.2">
      <c r="A218" s="168">
        <v>43658</v>
      </c>
      <c r="B218" s="16">
        <v>9.2250000000000014</v>
      </c>
      <c r="C218" s="16">
        <v>317.8</v>
      </c>
    </row>
    <row r="219" spans="1:3" x14ac:dyDescent="0.2">
      <c r="A219" s="168">
        <v>43661</v>
      </c>
      <c r="B219" s="16">
        <v>9.120000000000001</v>
      </c>
      <c r="C219" s="16">
        <v>315.60000000000002</v>
      </c>
    </row>
    <row r="220" spans="1:3" x14ac:dyDescent="0.2">
      <c r="A220" s="168">
        <v>43662</v>
      </c>
      <c r="B220" s="16">
        <v>8.9849999999999994</v>
      </c>
      <c r="C220" s="16">
        <v>312.39999999999998</v>
      </c>
    </row>
    <row r="221" spans="1:3" x14ac:dyDescent="0.2">
      <c r="A221" s="168">
        <v>43663</v>
      </c>
      <c r="B221" s="16">
        <v>8.92</v>
      </c>
      <c r="C221" s="16">
        <v>311.5</v>
      </c>
    </row>
    <row r="222" spans="1:3" x14ac:dyDescent="0.2">
      <c r="A222" s="168">
        <v>43664</v>
      </c>
      <c r="B222" s="16">
        <v>8.86</v>
      </c>
      <c r="C222" s="16">
        <v>311</v>
      </c>
    </row>
    <row r="223" spans="1:3" x14ac:dyDescent="0.2">
      <c r="A223" s="168">
        <v>43665</v>
      </c>
      <c r="B223" s="16">
        <v>9.0399999999999991</v>
      </c>
      <c r="C223" s="16">
        <v>315.2</v>
      </c>
    </row>
    <row r="224" spans="1:3" x14ac:dyDescent="0.2">
      <c r="A224" s="168">
        <v>43668</v>
      </c>
      <c r="B224" s="16">
        <v>8.9049999999999994</v>
      </c>
      <c r="C224" s="16">
        <v>312.39999999999998</v>
      </c>
    </row>
    <row r="225" spans="1:3" x14ac:dyDescent="0.2">
      <c r="A225" s="168">
        <v>43669</v>
      </c>
      <c r="B225" s="16">
        <v>8.8949999999999996</v>
      </c>
      <c r="C225" s="16">
        <v>310.39999999999998</v>
      </c>
    </row>
    <row r="226" spans="1:3" x14ac:dyDescent="0.2">
      <c r="A226" s="168">
        <v>43670</v>
      </c>
      <c r="B226" s="16">
        <v>8.9450000000000003</v>
      </c>
      <c r="C226" s="16">
        <v>310.3</v>
      </c>
    </row>
    <row r="227" spans="1:3" x14ac:dyDescent="0.2">
      <c r="A227" s="168">
        <v>43671</v>
      </c>
      <c r="B227" s="16">
        <v>8.86</v>
      </c>
      <c r="C227" s="16">
        <v>307.89999999999998</v>
      </c>
    </row>
    <row r="228" spans="1:3" x14ac:dyDescent="0.2">
      <c r="A228" s="168">
        <v>43672</v>
      </c>
      <c r="B228" s="16">
        <v>8.8450000000000006</v>
      </c>
      <c r="C228" s="16">
        <v>307.10000000000002</v>
      </c>
    </row>
    <row r="229" spans="1:3" x14ac:dyDescent="0.2">
      <c r="A229" s="168">
        <v>43675</v>
      </c>
      <c r="B229" s="16">
        <v>8.84</v>
      </c>
      <c r="C229" s="16">
        <v>308.7</v>
      </c>
    </row>
    <row r="230" spans="1:3" x14ac:dyDescent="0.2">
      <c r="A230" s="168">
        <v>43676</v>
      </c>
      <c r="B230" s="16">
        <v>8.75</v>
      </c>
      <c r="C230" s="16">
        <v>304.8</v>
      </c>
    </row>
    <row r="231" spans="1:3" x14ac:dyDescent="0.2">
      <c r="A231" s="168">
        <v>43677</v>
      </c>
      <c r="B231" s="16">
        <v>8.6</v>
      </c>
      <c r="C231" s="16">
        <v>303</v>
      </c>
    </row>
    <row r="232" spans="1:3" x14ac:dyDescent="0.2">
      <c r="A232" s="168">
        <v>43678</v>
      </c>
      <c r="B232" s="16">
        <v>8.4149999999999991</v>
      </c>
      <c r="C232" s="16">
        <v>297.60000000000002</v>
      </c>
    </row>
    <row r="233" spans="1:3" x14ac:dyDescent="0.2">
      <c r="A233" s="168">
        <v>43679</v>
      </c>
      <c r="B233" s="16">
        <v>8.4700000000000006</v>
      </c>
      <c r="C233" s="16">
        <v>297</v>
      </c>
    </row>
    <row r="234" spans="1:3" x14ac:dyDescent="0.2">
      <c r="A234" s="168">
        <v>43682</v>
      </c>
      <c r="B234" s="16">
        <v>8.4649999999999999</v>
      </c>
      <c r="C234" s="16">
        <v>300</v>
      </c>
    </row>
    <row r="235" spans="1:3" x14ac:dyDescent="0.2">
      <c r="A235" s="168">
        <v>43683</v>
      </c>
      <c r="B235" s="16">
        <v>8.4250000000000007</v>
      </c>
      <c r="C235" s="16">
        <v>300.3</v>
      </c>
    </row>
    <row r="236" spans="1:3" x14ac:dyDescent="0.2">
      <c r="A236" s="168">
        <v>43684</v>
      </c>
      <c r="B236" s="16">
        <v>8.4499999999999993</v>
      </c>
      <c r="C236" s="16">
        <v>298</v>
      </c>
    </row>
    <row r="237" spans="1:3" x14ac:dyDescent="0.2">
      <c r="A237" s="168">
        <v>43685</v>
      </c>
      <c r="B237" s="16">
        <v>8.61</v>
      </c>
      <c r="C237" s="16">
        <v>299.8</v>
      </c>
    </row>
    <row r="238" spans="1:3" x14ac:dyDescent="0.2">
      <c r="A238" s="168">
        <v>43686</v>
      </c>
      <c r="B238" s="16">
        <v>8.68</v>
      </c>
      <c r="C238" s="16">
        <v>301.5</v>
      </c>
    </row>
    <row r="239" spans="1:3" x14ac:dyDescent="0.2">
      <c r="A239" s="168">
        <v>43689</v>
      </c>
      <c r="B239" s="16">
        <v>8.5649999999999995</v>
      </c>
      <c r="C239" s="16">
        <v>296.39999999999998</v>
      </c>
    </row>
    <row r="240" spans="1:3" x14ac:dyDescent="0.2">
      <c r="A240" s="168">
        <v>43690</v>
      </c>
      <c r="B240" s="16">
        <v>8.68</v>
      </c>
      <c r="C240" s="16">
        <v>302.2</v>
      </c>
    </row>
    <row r="241" spans="1:3" x14ac:dyDescent="0.2">
      <c r="A241" s="168">
        <v>43691</v>
      </c>
      <c r="B241" s="16">
        <v>8.59</v>
      </c>
      <c r="C241" s="16">
        <v>297.60000000000002</v>
      </c>
    </row>
    <row r="242" spans="1:3" x14ac:dyDescent="0.2">
      <c r="A242" s="168">
        <v>43692</v>
      </c>
      <c r="B242" s="16">
        <v>8.56</v>
      </c>
      <c r="C242" s="16">
        <v>294.8</v>
      </c>
    </row>
    <row r="243" spans="1:3" x14ac:dyDescent="0.2">
      <c r="A243" s="168">
        <v>43693</v>
      </c>
      <c r="B243" s="16">
        <v>8.66</v>
      </c>
      <c r="C243" s="16">
        <v>297.89999999999998</v>
      </c>
    </row>
    <row r="244" spans="1:3" x14ac:dyDescent="0.2">
      <c r="A244" s="168">
        <v>43696</v>
      </c>
      <c r="B244" s="16">
        <v>8.5500000000000007</v>
      </c>
      <c r="C244" s="16">
        <v>295</v>
      </c>
    </row>
    <row r="245" spans="1:3" x14ac:dyDescent="0.2">
      <c r="A245" s="168">
        <v>43697</v>
      </c>
      <c r="B245" s="16">
        <v>8.58</v>
      </c>
      <c r="C245" s="16">
        <v>297</v>
      </c>
    </row>
    <row r="246" spans="1:3" x14ac:dyDescent="0.2">
      <c r="A246" s="168">
        <v>43698</v>
      </c>
      <c r="B246" s="16">
        <v>8.629999999999999</v>
      </c>
      <c r="C246" s="16">
        <v>296.7</v>
      </c>
    </row>
    <row r="247" spans="1:3" x14ac:dyDescent="0.2">
      <c r="A247" s="168">
        <v>43699</v>
      </c>
      <c r="B247" s="16">
        <v>8.5500000000000007</v>
      </c>
      <c r="C247" s="16">
        <v>295.7</v>
      </c>
    </row>
    <row r="248" spans="1:3" x14ac:dyDescent="0.2">
      <c r="A248" s="168">
        <v>43700</v>
      </c>
      <c r="B248" s="16">
        <v>8.41</v>
      </c>
      <c r="C248" s="16">
        <v>291.89999999999998</v>
      </c>
    </row>
    <row r="249" spans="1:3" x14ac:dyDescent="0.2">
      <c r="A249" s="168">
        <v>43703</v>
      </c>
      <c r="B249" s="16">
        <v>8.5150000000000006</v>
      </c>
      <c r="C249" s="16">
        <v>295</v>
      </c>
    </row>
    <row r="250" spans="1:3" x14ac:dyDescent="0.2">
      <c r="A250" s="168">
        <v>43704</v>
      </c>
      <c r="B250" s="16">
        <v>8.4350000000000005</v>
      </c>
      <c r="C250" s="16">
        <v>293.5</v>
      </c>
    </row>
    <row r="251" spans="1:3" x14ac:dyDescent="0.2">
      <c r="A251" s="168">
        <v>43705</v>
      </c>
      <c r="B251" s="16">
        <v>8.5250000000000004</v>
      </c>
      <c r="C251" s="16">
        <v>297</v>
      </c>
    </row>
    <row r="252" spans="1:3" x14ac:dyDescent="0.2">
      <c r="A252" s="168">
        <v>43706</v>
      </c>
      <c r="B252" s="16">
        <v>8.5399999999999991</v>
      </c>
      <c r="C252" s="16">
        <v>295</v>
      </c>
    </row>
    <row r="253" spans="1:3" x14ac:dyDescent="0.2">
      <c r="A253" s="168">
        <v>43707</v>
      </c>
      <c r="B253" s="16">
        <v>8.5449999999999999</v>
      </c>
      <c r="C253" s="16">
        <v>292.3</v>
      </c>
    </row>
    <row r="254" spans="1:3" x14ac:dyDescent="0.2">
      <c r="A254" s="168">
        <v>43711</v>
      </c>
      <c r="B254" s="16">
        <v>8.52</v>
      </c>
      <c r="C254" s="16">
        <v>291</v>
      </c>
    </row>
    <row r="255" spans="1:3" x14ac:dyDescent="0.2">
      <c r="A255" s="168">
        <v>43712</v>
      </c>
      <c r="B255" s="16">
        <v>8.5500000000000007</v>
      </c>
      <c r="C255" s="16">
        <v>297.60000000000002</v>
      </c>
    </row>
    <row r="256" spans="1:3" x14ac:dyDescent="0.2">
      <c r="A256" s="168">
        <v>43713</v>
      </c>
      <c r="B256" s="16">
        <v>8.379999999999999</v>
      </c>
      <c r="C256" s="16">
        <v>293.2</v>
      </c>
    </row>
    <row r="257" spans="1:3" x14ac:dyDescent="0.2">
      <c r="A257" s="168">
        <v>43714</v>
      </c>
      <c r="B257" s="16">
        <v>8.34</v>
      </c>
      <c r="C257" s="16">
        <v>291.8</v>
      </c>
    </row>
    <row r="258" spans="1:3" x14ac:dyDescent="0.2">
      <c r="A258" s="168">
        <v>43717</v>
      </c>
      <c r="B258" s="16">
        <v>8.34</v>
      </c>
      <c r="C258" s="16">
        <v>292.89999999999998</v>
      </c>
    </row>
    <row r="259" spans="1:3" x14ac:dyDescent="0.2">
      <c r="A259" s="168">
        <v>43718</v>
      </c>
      <c r="B259" s="16">
        <v>8.4350000000000005</v>
      </c>
      <c r="C259" s="16">
        <v>296.8</v>
      </c>
    </row>
    <row r="260" spans="1:3" x14ac:dyDescent="0.2">
      <c r="A260" s="168">
        <v>43719</v>
      </c>
      <c r="B260" s="16">
        <v>8.379999999999999</v>
      </c>
      <c r="C260" s="16">
        <v>293.5</v>
      </c>
    </row>
    <row r="261" spans="1:3" x14ac:dyDescent="0.2">
      <c r="A261" s="168">
        <v>43720</v>
      </c>
      <c r="B261" s="16">
        <v>8.66</v>
      </c>
      <c r="C261" s="16">
        <v>300.10000000000002</v>
      </c>
    </row>
    <row r="262" spans="1:3" x14ac:dyDescent="0.2">
      <c r="A262" s="168">
        <v>43721</v>
      </c>
      <c r="B262" s="16">
        <v>8.6950000000000003</v>
      </c>
      <c r="C262" s="16">
        <v>300.39999999999998</v>
      </c>
    </row>
    <row r="263" spans="1:3" x14ac:dyDescent="0.2">
      <c r="A263" s="168">
        <v>43724</v>
      </c>
      <c r="B263" s="16">
        <v>8.7050000000000001</v>
      </c>
      <c r="C263" s="16">
        <v>297.7</v>
      </c>
    </row>
    <row r="264" spans="1:3" x14ac:dyDescent="0.2">
      <c r="A264" s="168">
        <v>43725</v>
      </c>
      <c r="B264" s="16">
        <v>8.6449999999999996</v>
      </c>
      <c r="C264" s="16">
        <v>296.60000000000002</v>
      </c>
    </row>
    <row r="265" spans="1:3" x14ac:dyDescent="0.2">
      <c r="A265" s="168">
        <v>43726</v>
      </c>
      <c r="B265" s="16">
        <v>8.6050000000000004</v>
      </c>
      <c r="C265" s="16">
        <v>294.10000000000002</v>
      </c>
    </row>
    <row r="266" spans="1:3" x14ac:dyDescent="0.2">
      <c r="A266" s="168">
        <v>43727</v>
      </c>
      <c r="B266" s="16">
        <v>8.6550000000000011</v>
      </c>
      <c r="C266" s="16">
        <v>294.7</v>
      </c>
    </row>
    <row r="267" spans="1:3" x14ac:dyDescent="0.2">
      <c r="A267" s="168">
        <v>43728</v>
      </c>
      <c r="B267" s="16">
        <v>8.5399999999999991</v>
      </c>
      <c r="C267" s="16">
        <v>293.60000000000002</v>
      </c>
    </row>
    <row r="268" spans="1:3" x14ac:dyDescent="0.2">
      <c r="A268" s="168">
        <v>43731</v>
      </c>
      <c r="B268" s="16">
        <v>8.65</v>
      </c>
      <c r="C268" s="16">
        <v>297</v>
      </c>
    </row>
    <row r="269" spans="1:3" x14ac:dyDescent="0.2">
      <c r="A269" s="168">
        <v>43732</v>
      </c>
      <c r="B269" s="16">
        <v>8.67</v>
      </c>
      <c r="C269" s="16">
        <v>297.89999999999998</v>
      </c>
    </row>
    <row r="270" spans="1:3" x14ac:dyDescent="0.2">
      <c r="A270" s="168">
        <v>43733</v>
      </c>
      <c r="B270" s="16">
        <v>8.625</v>
      </c>
      <c r="C270" s="16">
        <v>295.7</v>
      </c>
    </row>
    <row r="271" spans="1:3" x14ac:dyDescent="0.2">
      <c r="A271" s="168">
        <v>43734</v>
      </c>
      <c r="B271" s="16">
        <v>8.66</v>
      </c>
      <c r="C271" s="16">
        <v>293.3</v>
      </c>
    </row>
    <row r="272" spans="1:3" x14ac:dyDescent="0.2">
      <c r="A272" s="168">
        <v>43735</v>
      </c>
      <c r="B272" s="16">
        <v>8.6050000000000004</v>
      </c>
      <c r="C272" s="16">
        <v>292.39999999999998</v>
      </c>
    </row>
    <row r="273" spans="1:3" x14ac:dyDescent="0.2">
      <c r="A273" s="168">
        <v>43738</v>
      </c>
      <c r="B273" s="16">
        <v>8.8350000000000009</v>
      </c>
      <c r="C273" s="16">
        <v>301</v>
      </c>
    </row>
    <row r="274" spans="1:3" x14ac:dyDescent="0.2">
      <c r="A274" s="168">
        <v>43739</v>
      </c>
      <c r="B274" s="16">
        <v>9.0500000000000007</v>
      </c>
      <c r="C274" s="16">
        <v>309</v>
      </c>
    </row>
    <row r="275" spans="1:3" x14ac:dyDescent="0.2">
      <c r="A275" s="168">
        <v>43740</v>
      </c>
      <c r="B275" s="16">
        <v>8.9550000000000001</v>
      </c>
      <c r="C275" s="16">
        <v>305.60000000000002</v>
      </c>
    </row>
    <row r="276" spans="1:3" x14ac:dyDescent="0.2">
      <c r="A276" s="168">
        <v>43741</v>
      </c>
      <c r="B276" s="16">
        <v>8.9350000000000005</v>
      </c>
      <c r="C276" s="16">
        <v>308.89999999999998</v>
      </c>
    </row>
    <row r="277" spans="1:3" x14ac:dyDescent="0.2">
      <c r="A277" s="168">
        <v>43742</v>
      </c>
      <c r="B277" s="16">
        <v>8.9250000000000007</v>
      </c>
      <c r="C277" s="16">
        <v>309.7</v>
      </c>
    </row>
    <row r="278" spans="1:3" x14ac:dyDescent="0.2">
      <c r="A278" s="168">
        <v>43745</v>
      </c>
      <c r="B278" s="16">
        <v>8.9149999999999991</v>
      </c>
      <c r="C278" s="16">
        <v>308.10000000000002</v>
      </c>
    </row>
    <row r="279" spans="1:3" x14ac:dyDescent="0.2">
      <c r="A279" s="168">
        <v>43746</v>
      </c>
      <c r="B279" s="16">
        <v>8.9700000000000006</v>
      </c>
      <c r="C279" s="16">
        <v>312.89999999999998</v>
      </c>
    </row>
    <row r="280" spans="1:3" x14ac:dyDescent="0.2">
      <c r="A280" s="168">
        <v>43747</v>
      </c>
      <c r="B280" s="16">
        <v>9.0150000000000006</v>
      </c>
      <c r="C280" s="16">
        <v>315.7</v>
      </c>
    </row>
    <row r="281" spans="1:3" x14ac:dyDescent="0.2">
      <c r="A281" s="168">
        <v>43748</v>
      </c>
      <c r="B281" s="16">
        <v>9.01</v>
      </c>
      <c r="C281" s="16">
        <v>313.8</v>
      </c>
    </row>
    <row r="282" spans="1:3" x14ac:dyDescent="0.2">
      <c r="A282" s="168">
        <v>43749</v>
      </c>
      <c r="B282" s="16">
        <v>9.1350000000000016</v>
      </c>
      <c r="C282" s="16">
        <v>316.8</v>
      </c>
    </row>
    <row r="283" spans="1:3" x14ac:dyDescent="0.2">
      <c r="A283" s="168">
        <v>43753</v>
      </c>
      <c r="B283" s="16">
        <v>9.1550000000000011</v>
      </c>
      <c r="C283" s="16">
        <v>313.8</v>
      </c>
    </row>
    <row r="284" spans="1:3" x14ac:dyDescent="0.2">
      <c r="A284" s="168">
        <v>43754</v>
      </c>
      <c r="B284" s="16">
        <v>9.0949999999999989</v>
      </c>
      <c r="C284" s="16">
        <v>310.8</v>
      </c>
    </row>
    <row r="285" spans="1:3" x14ac:dyDescent="0.2">
      <c r="A285" s="168">
        <v>43755</v>
      </c>
      <c r="B285" s="16">
        <v>9.1499999999999986</v>
      </c>
      <c r="C285" s="16">
        <v>312.8</v>
      </c>
    </row>
    <row r="286" spans="1:3" x14ac:dyDescent="0.2">
      <c r="A286" s="168">
        <v>43756</v>
      </c>
      <c r="B286" s="16">
        <v>9.18</v>
      </c>
      <c r="C286" s="16">
        <v>314.5</v>
      </c>
    </row>
    <row r="287" spans="1:3" x14ac:dyDescent="0.2">
      <c r="A287" s="168">
        <v>43759</v>
      </c>
      <c r="B287" s="16">
        <v>9.1449999999999996</v>
      </c>
      <c r="C287" s="16">
        <v>308.7</v>
      </c>
    </row>
    <row r="288" spans="1:3" x14ac:dyDescent="0.2">
      <c r="A288" s="168">
        <v>43760</v>
      </c>
      <c r="B288" s="16">
        <v>9.1750000000000007</v>
      </c>
      <c r="C288" s="16">
        <v>307.89999999999998</v>
      </c>
    </row>
    <row r="289" spans="1:3" x14ac:dyDescent="0.2">
      <c r="A289" s="168">
        <v>43761</v>
      </c>
      <c r="B289" s="16">
        <v>9.1750000000000007</v>
      </c>
      <c r="C289" s="16">
        <v>309.60000000000002</v>
      </c>
    </row>
    <row r="290" spans="1:3" x14ac:dyDescent="0.2">
      <c r="A290" s="168">
        <v>43762</v>
      </c>
      <c r="B290" s="16">
        <v>9.1649999999999991</v>
      </c>
      <c r="C290" s="16">
        <v>306.60000000000002</v>
      </c>
    </row>
    <row r="291" spans="1:3" x14ac:dyDescent="0.2">
      <c r="A291" s="168">
        <v>43763</v>
      </c>
      <c r="B291" s="16">
        <v>9.0350000000000001</v>
      </c>
      <c r="C291" s="16">
        <v>304.3</v>
      </c>
    </row>
    <row r="292" spans="1:3" x14ac:dyDescent="0.2">
      <c r="A292" s="168">
        <v>43766</v>
      </c>
      <c r="B292" s="16">
        <v>9.0950000000000006</v>
      </c>
      <c r="C292" s="16">
        <v>305</v>
      </c>
    </row>
    <row r="293" spans="1:3" x14ac:dyDescent="0.2">
      <c r="A293" s="168">
        <v>43767</v>
      </c>
      <c r="B293" s="16">
        <v>9.0649999999999995</v>
      </c>
      <c r="C293" s="16">
        <v>304.5</v>
      </c>
    </row>
    <row r="294" spans="1:3" x14ac:dyDescent="0.2">
      <c r="A294" s="168">
        <v>43768</v>
      </c>
      <c r="B294" s="16">
        <v>9.0449999999999999</v>
      </c>
      <c r="C294" s="16">
        <v>303.7</v>
      </c>
    </row>
    <row r="295" spans="1:3" x14ac:dyDescent="0.2">
      <c r="A295" s="168">
        <v>43769</v>
      </c>
      <c r="B295" s="16">
        <v>9.0949999999999989</v>
      </c>
      <c r="C295" s="16">
        <v>305.89999999999998</v>
      </c>
    </row>
    <row r="296" spans="1:3" x14ac:dyDescent="0.2">
      <c r="A296" s="168">
        <v>43770</v>
      </c>
      <c r="B296" s="16">
        <v>9.18</v>
      </c>
      <c r="C296" s="16">
        <v>305.39999999999998</v>
      </c>
    </row>
    <row r="297" spans="1:3" x14ac:dyDescent="0.2">
      <c r="A297" s="168">
        <v>43773</v>
      </c>
      <c r="B297" s="16">
        <v>9.2100000000000009</v>
      </c>
      <c r="C297" s="16">
        <v>303.89999999999998</v>
      </c>
    </row>
    <row r="298" spans="1:3" x14ac:dyDescent="0.2">
      <c r="A298" s="168">
        <v>43774</v>
      </c>
      <c r="B298" s="16">
        <v>9.2149999999999999</v>
      </c>
      <c r="C298" s="16">
        <v>304.2</v>
      </c>
    </row>
    <row r="299" spans="1:3" x14ac:dyDescent="0.2">
      <c r="A299" s="168">
        <v>43775</v>
      </c>
      <c r="B299" s="16">
        <v>9.18</v>
      </c>
      <c r="C299" s="16">
        <v>300.39999999999998</v>
      </c>
    </row>
    <row r="300" spans="1:3" x14ac:dyDescent="0.2">
      <c r="A300" s="168">
        <v>43776</v>
      </c>
      <c r="B300" s="16">
        <v>9.26</v>
      </c>
      <c r="C300" s="16">
        <v>307.10000000000002</v>
      </c>
    </row>
    <row r="301" spans="1:3" x14ac:dyDescent="0.2">
      <c r="A301" s="168">
        <v>43777</v>
      </c>
      <c r="B301" s="16">
        <v>9.2100000000000009</v>
      </c>
      <c r="C301" s="16">
        <v>306.39999999999998</v>
      </c>
    </row>
    <row r="302" spans="1:3" x14ac:dyDescent="0.2">
      <c r="A302" s="168">
        <v>43781</v>
      </c>
      <c r="B302" s="16">
        <v>9.17</v>
      </c>
      <c r="C302" s="16">
        <v>303.8</v>
      </c>
    </row>
    <row r="303" spans="1:3" x14ac:dyDescent="0.2">
      <c r="A303" s="168">
        <v>43782</v>
      </c>
      <c r="B303" s="16">
        <v>9.14</v>
      </c>
      <c r="C303" s="16">
        <v>305.60000000000002</v>
      </c>
    </row>
    <row r="304" spans="1:3" x14ac:dyDescent="0.2">
      <c r="A304" s="168">
        <v>43783</v>
      </c>
      <c r="B304" s="16">
        <v>9.1849999999999987</v>
      </c>
      <c r="C304" s="16">
        <v>304.60000000000002</v>
      </c>
    </row>
    <row r="305" spans="1:3" x14ac:dyDescent="0.2">
      <c r="A305" s="168">
        <v>43784</v>
      </c>
      <c r="B305" s="16">
        <v>9.2149999999999999</v>
      </c>
      <c r="C305" s="16">
        <v>309.10000000000002</v>
      </c>
    </row>
    <row r="306" spans="1:3" x14ac:dyDescent="0.2">
      <c r="A306" s="168">
        <v>43787</v>
      </c>
      <c r="B306" s="16">
        <v>9.1550000000000011</v>
      </c>
      <c r="C306" s="16">
        <v>303.2</v>
      </c>
    </row>
    <row r="307" spans="1:3" x14ac:dyDescent="0.2">
      <c r="A307" s="168">
        <v>43788</v>
      </c>
      <c r="B307" s="16">
        <v>9.17</v>
      </c>
      <c r="C307" s="16">
        <v>304</v>
      </c>
    </row>
    <row r="308" spans="1:3" x14ac:dyDescent="0.2">
      <c r="A308" s="168">
        <v>43789</v>
      </c>
      <c r="B308" s="16">
        <v>9.11</v>
      </c>
      <c r="C308" s="16">
        <v>301.8</v>
      </c>
    </row>
    <row r="309" spans="1:3" x14ac:dyDescent="0.2">
      <c r="A309" s="168">
        <v>43790</v>
      </c>
      <c r="B309" s="16">
        <v>9.0549999999999997</v>
      </c>
      <c r="C309" s="16">
        <v>303</v>
      </c>
    </row>
    <row r="310" spans="1:3" x14ac:dyDescent="0.2">
      <c r="A310" s="168">
        <v>43791</v>
      </c>
      <c r="B310" s="16">
        <v>9.0299999999999994</v>
      </c>
      <c r="C310" s="16">
        <v>301</v>
      </c>
    </row>
    <row r="311" spans="1:3" x14ac:dyDescent="0.2">
      <c r="A311" s="168">
        <v>43794</v>
      </c>
      <c r="B311" s="16">
        <v>8.98</v>
      </c>
      <c r="C311" s="16">
        <v>300.3</v>
      </c>
    </row>
    <row r="312" spans="1:3" x14ac:dyDescent="0.2">
      <c r="A312" s="168">
        <v>43795</v>
      </c>
      <c r="B312" s="16">
        <v>8.93</v>
      </c>
      <c r="C312" s="16">
        <v>296.7</v>
      </c>
    </row>
    <row r="313" spans="1:3" x14ac:dyDescent="0.2">
      <c r="A313" s="168">
        <v>43796</v>
      </c>
      <c r="B313" s="16">
        <v>8.9050000000000011</v>
      </c>
      <c r="C313" s="16">
        <v>295.8</v>
      </c>
    </row>
    <row r="314" spans="1:3" x14ac:dyDescent="0.2">
      <c r="A314" s="168"/>
      <c r="B314" s="16"/>
      <c r="C314" s="16"/>
    </row>
    <row r="315" spans="1:3" x14ac:dyDescent="0.2">
      <c r="A315" s="168"/>
      <c r="B315" s="16"/>
      <c r="C315" s="16"/>
    </row>
    <row r="316" spans="1:3" x14ac:dyDescent="0.2">
      <c r="A316" s="168"/>
      <c r="B316" s="16"/>
      <c r="C316" s="16"/>
    </row>
    <row r="317" spans="1:3" x14ac:dyDescent="0.2">
      <c r="A317" s="168"/>
      <c r="B317" s="16"/>
      <c r="C317" s="16"/>
    </row>
    <row r="318" spans="1:3" x14ac:dyDescent="0.2">
      <c r="A318" s="168"/>
      <c r="B318" s="16"/>
      <c r="C318" s="16"/>
    </row>
    <row r="319" spans="1:3" x14ac:dyDescent="0.2">
      <c r="A319" s="168"/>
      <c r="B319" s="16"/>
      <c r="C319" s="16"/>
    </row>
    <row r="320" spans="1:3" x14ac:dyDescent="0.2">
      <c r="A320" s="168"/>
      <c r="B320" s="16"/>
      <c r="C320" s="16"/>
    </row>
    <row r="321" spans="3:3" x14ac:dyDescent="0.2">
      <c r="C321" s="16"/>
    </row>
    <row r="322" spans="3:3" x14ac:dyDescent="0.2">
      <c r="C322" s="16"/>
    </row>
    <row r="323" spans="3:3" x14ac:dyDescent="0.2">
      <c r="C323" s="16"/>
    </row>
    <row r="324" spans="3:3" x14ac:dyDescent="0.2">
      <c r="C324" s="16"/>
    </row>
    <row r="325" spans="3:3" x14ac:dyDescent="0.2">
      <c r="C325" s="16"/>
    </row>
    <row r="326" spans="3:3" x14ac:dyDescent="0.2">
      <c r="C326" s="16"/>
    </row>
    <row r="327" spans="3:3" x14ac:dyDescent="0.2">
      <c r="C327" s="16"/>
    </row>
    <row r="328" spans="3:3" x14ac:dyDescent="0.2">
      <c r="C328" s="16"/>
    </row>
    <row r="329" spans="3:3" x14ac:dyDescent="0.2">
      <c r="C329" s="16"/>
    </row>
    <row r="330" spans="3:3" x14ac:dyDescent="0.2">
      <c r="C330" s="16"/>
    </row>
    <row r="331" spans="3:3" x14ac:dyDescent="0.2">
      <c r="C331" s="16"/>
    </row>
    <row r="332" spans="3:3" x14ac:dyDescent="0.2">
      <c r="C332" s="16"/>
    </row>
    <row r="333" spans="3:3" x14ac:dyDescent="0.2">
      <c r="C333" s="16"/>
    </row>
    <row r="334" spans="3:3" x14ac:dyDescent="0.2">
      <c r="C334" s="16"/>
    </row>
    <row r="335" spans="3:3" x14ac:dyDescent="0.2">
      <c r="C335" s="16"/>
    </row>
    <row r="336" spans="3:3" x14ac:dyDescent="0.2">
      <c r="C336" s="16"/>
    </row>
    <row r="337" spans="3:3" x14ac:dyDescent="0.2">
      <c r="C337" s="16"/>
    </row>
    <row r="338" spans="3:3" x14ac:dyDescent="0.2">
      <c r="C338" s="16"/>
    </row>
    <row r="339" spans="3:3" x14ac:dyDescent="0.2">
      <c r="C339" s="16"/>
    </row>
    <row r="340" spans="3:3" x14ac:dyDescent="0.2">
      <c r="C340" s="16"/>
    </row>
    <row r="341" spans="3:3" x14ac:dyDescent="0.2">
      <c r="C341" s="16"/>
    </row>
    <row r="342" spans="3:3" x14ac:dyDescent="0.2">
      <c r="C342" s="16"/>
    </row>
    <row r="343" spans="3:3" x14ac:dyDescent="0.2">
      <c r="C343" s="16"/>
    </row>
    <row r="344" spans="3:3" x14ac:dyDescent="0.2">
      <c r="C344" s="16"/>
    </row>
    <row r="345" spans="3:3" x14ac:dyDescent="0.2">
      <c r="C345" s="16"/>
    </row>
    <row r="346" spans="3:3" x14ac:dyDescent="0.2">
      <c r="C346" s="16"/>
    </row>
    <row r="347" spans="3:3" x14ac:dyDescent="0.2">
      <c r="C347" s="16"/>
    </row>
  </sheetData>
  <phoneticPr fontId="3" type="noConversion"/>
  <pageMargins left="0.7" right="0.7" top="1" bottom="6.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Oil Crops Chart Gallery Fig 1</vt:lpstr>
      <vt:lpstr>Oil Crops Chart Gallery Fig 2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USDA-Economic Research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Mark S. Ash</dc:creator>
  <cp:keywords>soybeans, cottonseed, sunflower, peanuts, canola, supply, disappearance, price, OCS-19l, December 2019</cp:keywords>
  <dc:description>mash@ers.usda.gov</dc:description>
  <cp:lastModifiedBy>Windows User</cp:lastModifiedBy>
  <cp:lastPrinted>2014-11-10T20:35:48Z</cp:lastPrinted>
  <dcterms:created xsi:type="dcterms:W3CDTF">2001-11-13T16:22:15Z</dcterms:created>
  <dcterms:modified xsi:type="dcterms:W3CDTF">2019-12-12T14:05:14Z</dcterms:modified>
  <cp:category>Oilseeds</cp:category>
</cp:coreProperties>
</file>